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P27" i="1" l="1"/>
  <c r="P198" i="1" l="1"/>
  <c r="P175" i="1"/>
  <c r="P172" i="1"/>
  <c r="P165" i="1"/>
  <c r="P161" i="1"/>
  <c r="P146" i="1"/>
  <c r="P130" i="1"/>
  <c r="P122" i="1"/>
  <c r="P85" i="1"/>
  <c r="P57" i="1"/>
  <c r="P102" i="1" l="1"/>
  <c r="R85" i="1"/>
  <c r="Q85" i="1"/>
  <c r="P117" i="1"/>
  <c r="P115" i="1"/>
  <c r="K37" i="3"/>
  <c r="J37" i="3"/>
  <c r="I37" i="3"/>
  <c r="P76" i="1"/>
  <c r="P67" i="1"/>
  <c r="P61" i="1" l="1"/>
  <c r="P11" i="1"/>
  <c r="P140" i="1" l="1"/>
  <c r="R165" i="1" l="1"/>
  <c r="Q165" i="1"/>
  <c r="P156" i="1"/>
  <c r="Q161" i="1"/>
  <c r="R130" i="1"/>
  <c r="Q130" i="1"/>
  <c r="R115" i="1"/>
  <c r="Q115" i="1"/>
  <c r="E36" i="3"/>
  <c r="D36" i="3"/>
  <c r="C36" i="3"/>
  <c r="E35" i="3"/>
  <c r="D35" i="3"/>
  <c r="C35" i="3"/>
  <c r="P49" i="1"/>
  <c r="Q27" i="1"/>
  <c r="Q11" i="1"/>
  <c r="S121" i="1" l="1"/>
  <c r="Q146" i="1" l="1"/>
  <c r="R140" i="1"/>
  <c r="R146" i="1" s="1"/>
  <c r="Q140" i="1"/>
  <c r="S172" i="1" l="1"/>
  <c r="R186" i="1" l="1"/>
  <c r="O152" i="1" l="1"/>
  <c r="N152" i="1"/>
  <c r="O154" i="1"/>
  <c r="N154" i="1"/>
  <c r="O125" i="1"/>
  <c r="N125" i="1"/>
  <c r="Q175" i="1" l="1"/>
  <c r="R175" i="1"/>
  <c r="S175" i="1"/>
  <c r="R172" i="1"/>
  <c r="Q172" i="1"/>
  <c r="N146" i="1" l="1"/>
  <c r="O198" i="1" l="1"/>
  <c r="N198" i="1"/>
  <c r="O165" i="1"/>
  <c r="O164" i="1" s="1"/>
  <c r="N165" i="1"/>
  <c r="N164" i="1" s="1"/>
  <c r="O130" i="1"/>
  <c r="N130" i="1"/>
  <c r="O146" i="1"/>
  <c r="O122" i="1"/>
  <c r="N122" i="1"/>
  <c r="N117" i="1"/>
  <c r="O117" i="1"/>
  <c r="O115" i="1"/>
  <c r="N115" i="1"/>
  <c r="O76" i="1"/>
  <c r="N76" i="1"/>
  <c r="O57" i="1"/>
  <c r="N57" i="1"/>
  <c r="O49" i="1"/>
  <c r="N49" i="1"/>
  <c r="O32" i="1"/>
  <c r="N32" i="1"/>
  <c r="N121" i="1" l="1"/>
  <c r="O121" i="1"/>
  <c r="S26" i="1"/>
  <c r="O27" i="1"/>
  <c r="O26" i="1" s="1"/>
  <c r="N27" i="1"/>
  <c r="N26" i="1" s="1"/>
  <c r="S10" i="1"/>
  <c r="O11" i="1"/>
  <c r="O10" i="1" s="1"/>
  <c r="N11" i="1"/>
  <c r="N10" i="1" s="1"/>
  <c r="Q198" i="1" l="1"/>
  <c r="P186" i="1"/>
  <c r="Q164" i="1"/>
  <c r="P164" i="1"/>
  <c r="P121" i="1"/>
  <c r="K19" i="3" l="1"/>
  <c r="J19" i="3"/>
  <c r="I19" i="3"/>
  <c r="P60" i="1"/>
  <c r="S32" i="1"/>
  <c r="R32" i="1"/>
  <c r="Q32" i="1"/>
  <c r="P32" i="1"/>
  <c r="O36" i="1" l="1"/>
  <c r="N36" i="1"/>
  <c r="S36" i="1"/>
  <c r="R36" i="1"/>
  <c r="Q36" i="1"/>
  <c r="P36" i="1"/>
  <c r="P26" i="1"/>
  <c r="R11" i="1"/>
  <c r="R10" i="1" s="1"/>
  <c r="P10" i="1"/>
  <c r="S165" i="1" l="1"/>
  <c r="S164" i="1" s="1"/>
  <c r="R164" i="1"/>
  <c r="S156" i="1"/>
  <c r="R156" i="1"/>
  <c r="Q156" i="1"/>
  <c r="R122" i="1" l="1"/>
  <c r="R121" i="1" s="1"/>
  <c r="Q122" i="1"/>
  <c r="Q121" i="1" s="1"/>
  <c r="S117" i="1" l="1"/>
  <c r="R117" i="1"/>
  <c r="Q117" i="1"/>
  <c r="E18" i="3"/>
  <c r="D18" i="3"/>
  <c r="C18" i="3"/>
  <c r="E15" i="3"/>
  <c r="D15" i="3"/>
  <c r="C15" i="3"/>
  <c r="R76" i="1"/>
  <c r="Q76" i="1"/>
  <c r="R57" i="1"/>
  <c r="Q57" i="1"/>
  <c r="Q10" i="1"/>
  <c r="R27" i="1"/>
  <c r="R26" i="1" s="1"/>
  <c r="Q26" i="1"/>
  <c r="N180" i="1" l="1"/>
  <c r="S101" i="1" l="1"/>
  <c r="R101" i="1"/>
  <c r="Q101" i="1"/>
  <c r="P101" i="1"/>
  <c r="O101" i="1"/>
  <c r="N101" i="1"/>
  <c r="S84" i="1"/>
  <c r="R84" i="1"/>
  <c r="Q84" i="1" l="1"/>
  <c r="S230" i="1" l="1"/>
  <c r="R230" i="1"/>
  <c r="Q230" i="1"/>
  <c r="P230" i="1"/>
  <c r="O230" i="1"/>
  <c r="N230" i="1"/>
  <c r="R236" i="1"/>
  <c r="Q236" i="1"/>
  <c r="P84" i="1" l="1"/>
  <c r="S105" i="1"/>
  <c r="R105" i="1"/>
  <c r="Q105" i="1"/>
  <c r="P105" i="1"/>
  <c r="O105" i="1"/>
  <c r="N105" i="1"/>
  <c r="S114" i="1"/>
  <c r="S232" i="1" s="1"/>
  <c r="R114" i="1"/>
  <c r="R232" i="1" s="1"/>
  <c r="Q114" i="1"/>
  <c r="Q232" i="1" s="1"/>
  <c r="P114" i="1"/>
  <c r="P232" i="1" s="1"/>
  <c r="P83" i="1" l="1"/>
  <c r="O114" i="1" l="1"/>
  <c r="O232" i="1" s="1"/>
  <c r="N114" i="1"/>
  <c r="N232" i="1" s="1"/>
  <c r="S64" i="1" l="1"/>
  <c r="R64" i="1"/>
  <c r="Q64" i="1"/>
  <c r="P64" i="1"/>
  <c r="O64" i="1"/>
  <c r="N64" i="1"/>
  <c r="O66" i="1" l="1"/>
  <c r="O84" i="1" l="1"/>
  <c r="O83" i="1" s="1"/>
  <c r="N84" i="1"/>
  <c r="N83" i="1" s="1"/>
  <c r="N66" i="1"/>
  <c r="S207" i="1" l="1"/>
  <c r="R207" i="1"/>
  <c r="Q207" i="1"/>
  <c r="P207" i="1"/>
  <c r="O207" i="1"/>
  <c r="N207" i="1"/>
  <c r="S236" i="1" l="1"/>
  <c r="S76" i="1" l="1"/>
  <c r="S66" i="1" l="1"/>
  <c r="P66" i="1" l="1"/>
  <c r="R66" i="1"/>
  <c r="Q66" i="1"/>
  <c r="N48" i="1" l="1"/>
  <c r="S56" i="1" l="1"/>
  <c r="R56" i="1"/>
  <c r="Q56" i="1"/>
  <c r="P56" i="1"/>
  <c r="O56" i="1"/>
  <c r="N56"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80" i="1" l="1"/>
  <c r="R180" i="1"/>
  <c r="Q180" i="1"/>
  <c r="P180" i="1"/>
  <c r="P163" i="1" s="1"/>
  <c r="O180" i="1"/>
  <c r="H36" i="2" l="1"/>
  <c r="G36" i="2"/>
  <c r="F36" i="2"/>
  <c r="E36" i="2"/>
  <c r="D36" i="2"/>
  <c r="C36" i="2"/>
  <c r="H35" i="2"/>
  <c r="G35" i="2"/>
  <c r="F35" i="2"/>
  <c r="E35" i="2"/>
  <c r="D35" i="2"/>
  <c r="C35" i="2"/>
  <c r="H33" i="2"/>
  <c r="G33" i="2"/>
  <c r="F33" i="2"/>
  <c r="E33" i="2"/>
  <c r="D33" i="2"/>
  <c r="C33" i="2"/>
  <c r="B32" i="2"/>
  <c r="S216" i="1"/>
  <c r="S206" i="1" s="1"/>
  <c r="R216" i="1"/>
  <c r="R206" i="1" s="1"/>
  <c r="Q216" i="1"/>
  <c r="Q206" i="1" s="1"/>
  <c r="P216" i="1"/>
  <c r="O216" i="1"/>
  <c r="N216" i="1"/>
  <c r="P221" i="1"/>
  <c r="Q221" i="1"/>
  <c r="S186" i="1"/>
  <c r="S203" i="1"/>
  <c r="R203" i="1"/>
  <c r="Q203" i="1"/>
  <c r="P203" i="1"/>
  <c r="P185" i="1" s="1"/>
  <c r="O203" i="1"/>
  <c r="N203" i="1"/>
  <c r="O163" i="1"/>
  <c r="S151" i="1"/>
  <c r="R151" i="1"/>
  <c r="Q151" i="1"/>
  <c r="P151" i="1"/>
  <c r="O151" i="1"/>
  <c r="N151" i="1"/>
  <c r="S83" i="1"/>
  <c r="F17" i="2"/>
  <c r="E17" i="2"/>
  <c r="P9" i="1" l="1"/>
  <c r="Q9" i="1"/>
  <c r="R9" i="1"/>
  <c r="S9" i="1"/>
  <c r="N9" i="1"/>
  <c r="P220" i="1"/>
  <c r="Q220" i="1"/>
  <c r="G17" i="2"/>
  <c r="S185" i="1"/>
  <c r="N163" i="1"/>
  <c r="R63" i="1"/>
  <c r="P63" i="1"/>
  <c r="S63" i="1"/>
  <c r="H45" i="2"/>
  <c r="G45" i="2"/>
  <c r="F45" i="2"/>
  <c r="E45" i="2"/>
  <c r="D45" i="2"/>
  <c r="C45" i="2"/>
  <c r="Q83" i="1" l="1"/>
  <c r="R83" i="1"/>
  <c r="O63" i="1" l="1"/>
  <c r="N63"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5" i="1" l="1"/>
  <c r="Q186" i="1"/>
  <c r="Q185" i="1" s="1"/>
  <c r="G41" i="2"/>
  <c r="G15" i="2"/>
  <c r="F15" i="2"/>
  <c r="P206" i="1"/>
  <c r="E27" i="2" l="1"/>
  <c r="E8" i="2" s="1"/>
  <c r="F20" i="2"/>
  <c r="G20" i="2"/>
  <c r="F40" i="2"/>
  <c r="G40" i="2"/>
  <c r="O206" i="1"/>
  <c r="D29" i="2"/>
  <c r="C29" i="2"/>
  <c r="O186" i="1"/>
  <c r="N186" i="1"/>
  <c r="D22" i="2"/>
  <c r="C22" i="2"/>
  <c r="O185" i="1" l="1"/>
  <c r="N185" i="1"/>
  <c r="N206" i="1"/>
  <c r="C20" i="2"/>
  <c r="D20" i="2"/>
  <c r="C27" i="2"/>
  <c r="D27" i="2"/>
  <c r="D15" i="2"/>
  <c r="C15" i="2"/>
  <c r="C8" i="2" l="1"/>
  <c r="D8" i="2"/>
  <c r="O9" i="1" l="1"/>
  <c r="F37" i="2"/>
  <c r="G37" i="2"/>
  <c r="E37" i="2"/>
  <c r="E48" i="2" s="1"/>
  <c r="H37" i="2"/>
  <c r="D37" i="2"/>
  <c r="D48" i="2" s="1"/>
  <c r="C37" i="2"/>
  <c r="C48" i="2" s="1"/>
  <c r="Q163" i="1" l="1"/>
  <c r="G8" i="2"/>
  <c r="G48" i="2" s="1"/>
  <c r="G50" i="2" s="1"/>
  <c r="G53" i="2" s="1"/>
  <c r="R163" i="1"/>
  <c r="Q63" i="1"/>
  <c r="E50" i="2"/>
  <c r="E53" i="2" s="1"/>
  <c r="S163" i="1" l="1"/>
  <c r="F8" i="2"/>
  <c r="F48" i="2" s="1"/>
  <c r="F50" i="2" s="1"/>
  <c r="F53" i="2" s="1"/>
  <c r="H8" i="2" l="1"/>
  <c r="H48" i="2" s="1"/>
  <c r="H50" i="2" s="1"/>
  <c r="H53" i="2" s="1"/>
  <c r="C50" i="2"/>
  <c r="C53" i="2" s="1"/>
  <c r="D50" i="2"/>
  <c r="D53" i="2" s="1"/>
  <c r="S225" i="1" l="1"/>
  <c r="S224" i="1" s="1"/>
  <c r="R225" i="1"/>
  <c r="R224" i="1" s="1"/>
  <c r="Q225" i="1"/>
  <c r="Q229" i="1" s="1"/>
  <c r="P225" i="1"/>
  <c r="P229" i="1" s="1"/>
  <c r="O225" i="1"/>
  <c r="N225" i="1"/>
  <c r="S221" i="1"/>
  <c r="S229" i="1" s="1"/>
  <c r="R221" i="1"/>
  <c r="O221" i="1"/>
  <c r="O229" i="1" s="1"/>
  <c r="N221" i="1"/>
  <c r="N229" i="1" s="1"/>
  <c r="R120" i="1"/>
  <c r="Q120" i="1"/>
  <c r="P120" i="1"/>
  <c r="O156" i="1"/>
  <c r="N156" i="1"/>
  <c r="S75" i="1"/>
  <c r="S74" i="1" s="1"/>
  <c r="R75" i="1"/>
  <c r="R74" i="1" s="1"/>
  <c r="Q75" i="1"/>
  <c r="Q74" i="1" s="1"/>
  <c r="P75" i="1"/>
  <c r="P74" i="1" s="1"/>
  <c r="O75" i="1"/>
  <c r="N75" i="1"/>
  <c r="N228" i="1" s="1"/>
  <c r="S60" i="1"/>
  <c r="S231" i="1" s="1"/>
  <c r="R60" i="1"/>
  <c r="R231" i="1" s="1"/>
  <c r="Q60" i="1"/>
  <c r="Q231" i="1" s="1"/>
  <c r="P231" i="1"/>
  <c r="O60" i="1"/>
  <c r="O231" i="1" s="1"/>
  <c r="N60" i="1"/>
  <c r="S48" i="1"/>
  <c r="S228" i="1" s="1"/>
  <c r="R48" i="1"/>
  <c r="R228" i="1" s="1"/>
  <c r="Q48" i="1"/>
  <c r="P48" i="1"/>
  <c r="O48" i="1"/>
  <c r="O228" i="1" s="1"/>
  <c r="P228" i="1" l="1"/>
  <c r="R229" i="1"/>
  <c r="R233" i="1" s="1"/>
  <c r="R239" i="1" s="1"/>
  <c r="R241" i="1" s="1"/>
  <c r="S233" i="1"/>
  <c r="S239" i="1" s="1"/>
  <c r="Q228" i="1"/>
  <c r="O233" i="1"/>
  <c r="N47" i="1"/>
  <c r="N231" i="1"/>
  <c r="N233" i="1" s="1"/>
  <c r="P224" i="1"/>
  <c r="Q224" i="1"/>
  <c r="O120" i="1"/>
  <c r="N120" i="1"/>
  <c r="S120" i="1"/>
  <c r="O74" i="1"/>
  <c r="N224" i="1"/>
  <c r="O224" i="1"/>
  <c r="Q47" i="1"/>
  <c r="R47" i="1"/>
  <c r="N74" i="1"/>
  <c r="P47" i="1"/>
  <c r="S47" i="1"/>
  <c r="O47" i="1"/>
  <c r="S220" i="1"/>
  <c r="R220" i="1"/>
  <c r="N220" i="1"/>
  <c r="O220" i="1"/>
  <c r="P233" i="1" l="1"/>
  <c r="P241" i="1" s="1"/>
  <c r="P234" i="1"/>
  <c r="P237" i="1" s="1"/>
  <c r="Q233" i="1"/>
  <c r="N234" i="1"/>
  <c r="N237" i="1" s="1"/>
  <c r="S237" i="1"/>
  <c r="R234" i="1"/>
  <c r="S234" i="1"/>
  <c r="O234" i="1"/>
  <c r="Q234" i="1"/>
  <c r="Q239" i="1" l="1"/>
  <c r="Q241" i="1" s="1"/>
  <c r="O237" i="1"/>
  <c r="O235" i="1"/>
  <c r="R237" i="1"/>
  <c r="Q237" i="1"/>
  <c r="S235" i="1"/>
  <c r="N235" i="1"/>
  <c r="R235" i="1"/>
  <c r="Q235" i="1"/>
  <c r="P235" i="1"/>
</calcChain>
</file>

<file path=xl/comments1.xml><?xml version="1.0" encoding="utf-8"?>
<comments xmlns="http://schemas.openxmlformats.org/spreadsheetml/2006/main">
  <authors>
    <author>121</author>
  </authors>
  <commentList>
    <comment ref="K106" authorId="0">
      <text>
        <r>
          <rPr>
            <b/>
            <sz val="9"/>
            <color indexed="81"/>
            <rFont val="Tahoma"/>
            <family val="2"/>
            <charset val="204"/>
          </rPr>
          <t>121:</t>
        </r>
        <r>
          <rPr>
            <sz val="9"/>
            <color indexed="81"/>
            <rFont val="Tahoma"/>
            <family val="2"/>
            <charset val="204"/>
          </rPr>
          <t xml:space="preserve">
переработать 
</t>
        </r>
      </text>
    </comment>
    <comment ref="K110" authorId="0">
      <text>
        <r>
          <rPr>
            <b/>
            <sz val="9"/>
            <color indexed="81"/>
            <rFont val="Tahoma"/>
            <family val="2"/>
            <charset val="204"/>
          </rPr>
          <t>121:</t>
        </r>
        <r>
          <rPr>
            <sz val="9"/>
            <color indexed="81"/>
            <rFont val="Tahoma"/>
            <family val="2"/>
            <charset val="204"/>
          </rPr>
          <t xml:space="preserve">
переработать
МКУ УО</t>
        </r>
      </text>
    </comment>
    <comment ref="K111"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<sst xmlns="http://schemas.openxmlformats.org/spreadsheetml/2006/main" count="1140" uniqueCount="608">
  <si>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</si>
  <si>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</si>
  <si>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</si>
  <si>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</si>
  <si>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</si>
  <si>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</si>
  <si>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</si>
  <si>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</si>
  <si>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</si>
  <si>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</si>
  <si>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</si>
  <si>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</si>
  <si>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</si>
  <si>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</si>
  <si>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</si>
  <si>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</si>
  <si>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</si>
  <si>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</si>
  <si>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</si>
  <si>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</si>
  <si>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</si>
  <si>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</si>
  <si>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</si>
  <si>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</si>
  <si>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</si>
  <si>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</si>
  <si>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</si>
  <si>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</si>
  <si>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</si>
  <si>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</si>
  <si>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</si>
  <si>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</si>
  <si>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</si>
  <si>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</si>
  <si>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</si>
  <si>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</si>
  <si>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</si>
  <si>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</si>
  <si>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</si>
  <si>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</si>
  <si>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</si>
  <si>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</si>
  <si>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</si>
  <si>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</si>
  <si>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</si>
  <si>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</si>
  <si>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</si>
  <si>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</si>
  <si>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</si>
  <si>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</si>
  <si>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</si>
  <si>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</si>
  <si>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</si>
  <si>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</si>
  <si>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</si>
  <si>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</si>
  <si>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</si>
  <si>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</si>
  <si>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</si>
  <si>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</si>
  <si>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</si>
  <si>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</si>
  <si>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</si>
  <si>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</si>
  <si>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</si>
  <si>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</si>
  <si>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</si>
  <si>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</si>
  <si>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</si>
  <si>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</si>
  <si>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</si>
  <si>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</si>
  <si>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</si>
  <si>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</si>
  <si>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</si>
  <si>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</si>
  <si>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</si>
  <si>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</si>
  <si>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</si>
  <si>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</si>
  <si>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</si>
  <si>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</si>
  <si>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</si>
  <si>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</si>
  <si>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</si>
  <si>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</si>
  <si>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</si>
  <si>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</si>
  <si>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</si>
  <si>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</si>
  <si>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</si>
  <si>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</si>
  <si>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</si>
  <si>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</si>
  <si>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</si>
  <si>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</si>
  <si>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</si>
  <si>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</si>
  <si>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</si>
  <si>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</si>
  <si>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</si>
  <si>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</si>
  <si>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</si>
  <si>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</si>
  <si>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</si>
  <si>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</si>
  <si>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</si>
  <si>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</si>
  <si>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</si>
  <si>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</si>
  <si>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</si>
  <si>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</si>
  <si>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</si>
  <si>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</si>
  <si>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</si>
  <si>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</si>
  <si>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</si>
  <si>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</si>
  <si>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</si>
  <si>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</si>
  <si>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</si>
  <si>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</si>
  <si>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</si>
  <si>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</si>
  <si>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</si>
  <si>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</si>
  <si>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</si>
  <si>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</si>
  <si>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</si>
  <si>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</si>
  <si>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</si>
  <si>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</si>
  <si>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</si>
  <si>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</si>
  <si>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</si>
  <si>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</si>
  <si>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</si>
  <si>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</si>
  <si>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</si>
  <si>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</si>
  <si>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</si>
  <si>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</si>
  <si>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</si>
  <si>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</si>
  <si>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</si>
  <si>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</si>
  <si>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</si>
  <si>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</si>
  <si>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</si>
  <si>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</si>
  <si>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</si>
  <si>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</si>
  <si>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</si>
  <si>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</si>
  <si>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</si>
  <si>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</si>
  <si>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</si>
  <si>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</si>
  <si>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</si>
  <si>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</si>
  <si>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</si>
  <si>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</si>
  <si>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</si>
  <si>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</si>
  <si>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</si>
  <si>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</si>
  <si>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</si>
  <si>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</si>
  <si>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</si>
  <si>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</si>
  <si>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</si>
  <si>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</si>
  <si>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</si>
  <si>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</si>
  <si>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</si>
  <si>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</si>
  <si>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</si>
  <si>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</si>
  <si>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</si>
  <si>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</si>
  <si>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</si>
  <si>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</si>
  <si>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</si>
  <si>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</si>
  <si>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</si>
  <si>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</si>
  <si>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</si>
  <si>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</si>
  <si>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</si>
  <si>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</si>
  <si>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</si>
  <si>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</si>
  <si>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</si>
  <si>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</si>
  <si>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</si>
  <si>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</si>
  <si>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</si>
  <si>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</si>
  <si>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</si>
  <si>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</si>
  <si>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</si>
  <si>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</si>
  <si>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</si>
  <si>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</si>
  <si>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</si>
  <si>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</si>
  <si>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</si>
  <si>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</si>
  <si>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</si>
  <si>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</si>
  <si>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</si>
  <si>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</si>
  <si>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</si>
  <si>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</si>
  <si>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</si>
  <si>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</si>
  <si>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</si>
  <si>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</si>
  <si>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</si>
  <si>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</si>
  <si>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</si>
  <si>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</si>
  <si>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</si>
  <si>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</si>
  <si>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</si>
  <si>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</si>
  <si>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</si>
  <si>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</si>
  <si>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</si>
  <si>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</si>
  <si>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</si>
  <si>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</si>
  <si>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</si>
  <si>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</si>
  <si>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</si>
  <si>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</si>
  <si>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</si>
  <si>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</si>
  <si>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</si>
  <si>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</si>
  <si>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</si>
  <si>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</si>
  <si>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</si>
  <si>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</si>
  <si>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</si>
  <si>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</si>
  <si>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</si>
  <si>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</si>
  <si>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</si>
  <si>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</si>
  <si>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</si>
  <si>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</si>
  <si>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</si>
  <si>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</si>
  <si>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</si>
  <si>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</si>
  <si>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</si>
  <si>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</si>
  <si>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</si>
  <si>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</si>
  <si>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</si>
  <si>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</si>
  <si>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</si>
  <si>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</si>
  <si>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</si>
  <si>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</si>
  <si>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</si>
  <si>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</si>
  <si>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</si>
  <si>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</si>
  <si>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</si>
  <si>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</si>
  <si>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</si>
  <si>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</si>
  <si>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</si>
  <si>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</si>
  <si>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</si>
  <si>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</si>
  <si>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</si>
  <si>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</si>
  <si>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</si>
  <si>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</si>
  <si>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</si>
  <si>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</si>
  <si>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</si>
  <si>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</si>
  <si>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</si>
  <si>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</si>
  <si>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</si>
  <si>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</si>
  <si>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</si>
  <si>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</si>
  <si>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</si>
  <si>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</si>
  <si>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</si>
  <si>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</si>
  <si>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</si>
  <si>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</si>
  <si>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</si>
  <si>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</si>
  <si>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</si>
  <si>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</si>
  <si>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</si>
  <si>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</si>
  <si>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</si>
  <si>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</si>
  <si>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</si>
  <si>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</si>
  <si>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</si>
  <si>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</si>
  <si>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</si>
  <si>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</si>
  <si>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</si>
  <si>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</si>
  <si>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</si>
  <si>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</si>
  <si>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</si>
  <si>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</si>
  <si>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</si>
  <si>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</si>
  <si>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</si>
  <si>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</si>
  <si>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</si>
  <si>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</si>
  <si>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</si>
  <si>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</si>
  <si>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</si>
  <si>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</si>
  <si>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</si>
  <si>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</si>
  <si>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</si>
  <si>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</si>
  <si>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</si>
  <si>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</si>
  <si>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</si>
  <si>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</si>
  <si>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</si>
  <si>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</si>
  <si>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</si>
  <si>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</si>
  <si>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</si>
  <si>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</si>
  <si>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</si>
  <si>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</si>
  <si>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</si>
  <si>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</si>
  <si>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</si>
  <si>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</si>
  <si>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</si>
  <si>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</si>
  <si>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</si>
  <si>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</si>
  <si>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</si>
  <si>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</si>
  <si>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</si>
  <si>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</si>
  <si>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</si>
  <si>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</si>
  <si>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</si>
  <si>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</si>
  <si>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</si>
  <si>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</si>
  <si>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</si>
  <si>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</si>
  <si>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</si>
  <si>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</si>
  <si>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</si>
  <si>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</si>
  <si>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</si>
  <si>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</si>
  <si>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</si>
  <si>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</si>
  <si>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</si>
  <si>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</si>
  <si>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</si>
  <si>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</si>
  <si>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</si>
  <si>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</si>
  <si>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</si>
  <si>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</si>
  <si>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</si>
  <si>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</si>
  <si>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</si>
  <si>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</si>
  <si>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</si>
  <si>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</si>
  <si>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</si>
  <si>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</si>
  <si>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</si>
  <si>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</si>
  <si>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</si>
  <si>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</si>
  <si>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</si>
  <si>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</si>
  <si>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</si>
  <si>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</si>
  <si>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</si>
  <si>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</si>
  <si>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</si>
  <si>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</si>
  <si>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</si>
  <si>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</si>
  <si>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</si>
  <si>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</si>
  <si>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</si>
  <si>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</si>
  <si>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</si>
  <si>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</si>
  <si>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</si>
  <si>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</si>
  <si>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</si>
  <si>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</si>
  <si>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</si>
  <si>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</si>
  <si>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</si>
  <si>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</si>
  <si>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</si>
  <si>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</si>
  <si>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</si>
  <si>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</si>
  <si>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</si>
  <si>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</si>
  <si>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</si>
  <si>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</si>
  <si>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</si>
  <si>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 xml:space="preserve"> 0909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</si>
  <si>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</si>
  <si>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</si>
  <si>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</si>
  <si>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0412,0603</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</si>
  <si>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</si>
  <si>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</si>
  <si>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</si>
  <si>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</si>
  <si>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</si>
  <si>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</si>
  <si>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</si>
  <si>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</si>
  <si>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</si>
  <si>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</si>
  <si>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</si>
  <si>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</si>
  <si>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</si>
  <si>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</si>
  <si>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</si>
  <si>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</si>
  <si>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</si>
  <si>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</si>
  <si>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</si>
  <si>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</si>
  <si>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</si>
  <si>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</si>
  <si>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</si>
  <si>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</si>
  <si>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</si>
  <si>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</si>
  <si>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</si>
  <si>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</si>
  <si>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</si>
  <si>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</si>
  <si>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</si>
  <si>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</si>
  <si>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</si>
  <si>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</si>
  <si>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</si>
  <si>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</si>
  <si>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</si>
  <si>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</si>
  <si>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</si>
  <si>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</si>
  <si>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</si>
  <si>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</si>
  <si>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</si>
  <si>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</si>
  <si>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</si>
  <si>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</si>
  <si>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</si>
  <si>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</si>
  <si>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</si>
  <si>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</si>
  <si>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</si>
  <si>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</si>
  <si>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</si>
  <si>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</si>
  <si>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</si>
  <si>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</si>
  <si>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</si>
  <si>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</si>
  <si>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</si>
  <si>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</si>
  <si>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</si>
  <si>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</si>
  <si>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</si>
  <si>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</si>
  <si>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</si>
  <si>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</si>
  <si>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</si>
  <si>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</si>
  <si>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</si>
  <si>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</si>
  <si>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</si>
  <si>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</si>
  <si>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</si>
  <si>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</si>
  <si>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</si>
  <si>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</si>
  <si>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</si>
  <si>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</si>
  <si>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</si>
  <si>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22.02.2017 - 08.12.2021</t>
  </si>
  <si>
    <t>Реестр расходных обязательств города Канска на плановый период 2022-2024 годы</t>
  </si>
  <si>
    <t>Отчетный период 2021 год</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</si>
  <si>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</si>
  <si>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</si>
  <si>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</si>
  <si>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</si>
  <si>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</si>
  <si>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ст.16, пункт 1, п/пункт 26.3</t>
  </si>
  <si>
    <t>0407</t>
  </si>
  <si>
    <t>1003</t>
  </si>
  <si>
    <t>Закон Красноярского края от 09.06.2011 г. №12-5958 "О наделении органов местного самоуправления отдельных муниципальных образований края государственными полномочиями по обеспечению жилыми помещениями гражд, уволенных с военной службы (службы), и приравненных к ним лиц".</t>
  </si>
  <si>
    <t xml:space="preserve">24.06.2011- не установ </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</si>
  <si>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</si>
  <si>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</si>
  <si>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26.08.2015  01.01.2022</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</si>
  <si>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</si>
  <si>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</si>
  <si>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17.04.2019 21.01.2022</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</si>
  <si>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</si>
  <si>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</si>
  <si>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Соглашение о предоставлении субсидии из бюджета субъекта РФ местному бюджету от 14.12.2021 № 20-2021-83228</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</si>
  <si>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</si>
  <si>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</si>
  <si>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</si>
  <si>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</si>
  <si>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</si>
  <si>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</si>
  <si>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</si>
  <si>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</si>
  <si>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</si>
  <si>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 xml:space="preserve">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</si>
  <si>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</si>
  <si>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</si>
  <si>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</si>
  <si>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</si>
  <si>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28.06.2017 - 23.03.2022</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</si>
  <si>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</si>
  <si>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</si>
  <si>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</si>
  <si>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</si>
  <si>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</si>
  <si>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</si>
  <si>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</si>
  <si>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10.04.2019- 01.06.2021</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</si>
  <si>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</si>
  <si>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</si>
  <si>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</si>
  <si>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</si>
  <si>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</si>
  <si>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</si>
  <si>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Соглашение о предоставлении иногоммежбюджетного транферта из краевого бюджета бюджету города Канска Красноярского края от 15.02.2022 №1/2022-2023</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</si>
  <si>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</si>
  <si>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</si>
  <si>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</si>
  <si>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Соглашение о предоставлении иного межбюджетного трансферта, имеющего целевое назначение, из бюджета субъекта РФ местному бюджету от 18.01.2022 № 04720000-1-2020-009</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</si>
  <si>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</si>
  <si>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</si>
  <si>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поддержка деятельности некоммерческих организаций, за исключением социально ориентированных организаци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</si>
  <si>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</si>
  <si>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</si>
  <si>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осуществление полномочий по проведению Всероссийской переписи населения 2020 года</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</si>
  <si>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</si>
  <si>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</si>
  <si>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</si>
  <si>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</si>
  <si>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</si>
  <si>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</si>
  <si>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</si>
  <si>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</si>
  <si>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</si>
  <si>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</si>
  <si>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</si>
  <si>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</si>
  <si>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</si>
  <si>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</si>
  <si>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</si>
  <si>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обеспечение жильем граждан, уволенных с военной службы (службы), и приравненных к ним лиц</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</si>
  <si>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</si>
  <si>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</si>
  <si>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</si>
  <si>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</si>
  <si>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</si>
  <si>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</si>
  <si>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</si>
  <si>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14.06.2022 №633 "Об утверждении Порядка расходования средств субсидии на государственную поддержку комплексного развития муниципальных учреждений культуры и образовательных организаций в области культуры"</t>
  </si>
  <si>
    <t>15.06.2022 - не установ</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</si>
  <si>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</si>
  <si>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</si>
  <si>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</si>
  <si>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</si>
  <si>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</si>
  <si>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</si>
  <si>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3201, 3202</t>
  </si>
  <si>
    <t>на осуществление государственных полномочий по обеспечению жилыми помещениями граждан, уволенных с военной службы (службы), и приравненных к ним лиц</t>
  </si>
  <si>
    <t>0113,0707</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</si>
  <si>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</si>
  <si>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</si>
  <si>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19-185 от 16.11.2022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</si>
</sst>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55">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14" fontId="1" fillId="4"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4" fontId="1" fillId="0" borderId="2" xfId="0" applyNumberFormat="1" applyFont="1" applyBorder="1" applyAlignment="1">
      <alignment horizontal="center" vertical="center" wrapText="1"/>
    </xf>
    <xf numFmtId="14" fontId="6" fillId="0" borderId="5" xfId="0" applyNumberFormat="1"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Fill="1" applyBorder="1" applyAlignment="1">
      <alignment horizontal="center" vertical="top" wrapText="1"/>
    </xf>
    <xf numFmtId="4" fontId="1" fillId="0" borderId="3" xfId="0" applyNumberFormat="1" applyFont="1" applyBorder="1" applyAlignment="1">
      <alignment horizontal="center" vertical="top" wrapText="1"/>
    </xf>
    <xf numFmtId="0" fontId="7" fillId="0" borderId="0" xfId="0" applyFont="1"/>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9"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2" xfId="0" applyNumberFormat="1"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6" fillId="0" borderId="2"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0" fontId="1" fillId="0" borderId="9"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3" xfId="0" applyFont="1" applyBorder="1" applyAlignment="1">
      <alignment horizontal="left"/>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Border="1" applyAlignment="1">
      <alignment horizontal="center" vertical="center"/>
    </xf>
    <xf numFmtId="4" fontId="1" fillId="0" borderId="4" xfId="0" applyNumberFormat="1" applyFont="1" applyBorder="1" applyAlignment="1">
      <alignment horizontal="center" vertical="center"/>
    </xf>
    <xf numFmtId="0" fontId="3" fillId="0" borderId="1" xfId="0" applyFont="1" applyBorder="1" applyAlignment="1">
      <alignment horizontal="left" vertical="top" wrapText="1"/>
    </xf>
    <xf numFmtId="0" fontId="0" fillId="0" borderId="3" xfId="0" applyBorder="1" applyAlignment="1">
      <alignment horizontal="center" vertical="top" wrapText="1"/>
    </xf>
    <xf numFmtId="0" fontId="1" fillId="0" borderId="12" xfId="0" applyFont="1" applyBorder="1" applyAlignment="1">
      <alignment horizontal="center" vertical="top"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3" xfId="0" applyNumberFormat="1" applyFont="1" applyBorder="1" applyAlignment="1">
      <alignment horizontal="center" vertical="center"/>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3" xfId="0" applyBorder="1" applyAlignment="1">
      <alignment horizontal="left" vertical="top" wrapText="1"/>
    </xf>
    <xf numFmtId="4" fontId="7"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1"/>
  <sheetViews>
    <sheetView tabSelected="1" zoomScaleNormal="100" workbookViewId="0">
      <pane xSplit="2" ySplit="8" topLeftCell="H9" activePane="bottomRight" state="frozen"/>
      <selection pane="topRight" activeCell="C1" sqref="C1"/>
      <selection pane="bottomLeft" activeCell="A9" sqref="A9"/>
      <selection pane="bottomRight" activeCell="P9" sqref="P9"/>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22" t="s">
        <v>510</v>
      </c>
      <c r="D2" s="322"/>
      <c r="E2" s="322"/>
      <c r="F2" s="322"/>
      <c r="G2" s="322"/>
      <c r="H2" s="322"/>
      <c r="I2" s="322"/>
      <c r="J2" s="322"/>
      <c r="K2" s="322"/>
      <c r="L2" s="322"/>
      <c r="M2" s="322"/>
      <c r="N2" s="322"/>
      <c r="O2" s="322"/>
      <c r="P2" s="322"/>
    </row>
    <row r="3" spans="1:19" x14ac:dyDescent="0.25">
      <c r="A3" s="278" t="s">
        <v>511</v>
      </c>
      <c r="B3" s="278"/>
      <c r="I3" s="20"/>
    </row>
    <row r="4" spans="1:19" x14ac:dyDescent="0.25">
      <c r="A4" s="313" t="s">
        <v>607</v>
      </c>
      <c r="B4" s="313"/>
      <c r="S4" s="35" t="s">
        <v>17</v>
      </c>
    </row>
    <row r="5" spans="1:19" x14ac:dyDescent="0.25">
      <c r="A5" s="331" t="s">
        <v>0</v>
      </c>
      <c r="B5" s="324" t="s">
        <v>1</v>
      </c>
      <c r="C5" s="325" t="s">
        <v>2</v>
      </c>
      <c r="D5" s="325"/>
      <c r="E5" s="325" t="s">
        <v>5</v>
      </c>
      <c r="F5" s="325"/>
      <c r="G5" s="325"/>
      <c r="H5" s="325" t="s">
        <v>9</v>
      </c>
      <c r="I5" s="327"/>
      <c r="J5" s="327"/>
      <c r="K5" s="325" t="s">
        <v>10</v>
      </c>
      <c r="L5" s="327"/>
      <c r="M5" s="327"/>
      <c r="N5" s="326" t="s">
        <v>16</v>
      </c>
      <c r="O5" s="326"/>
      <c r="P5" s="326"/>
      <c r="Q5" s="326"/>
      <c r="R5" s="326"/>
      <c r="S5" s="326"/>
    </row>
    <row r="6" spans="1:19" ht="45" x14ac:dyDescent="0.25">
      <c r="A6" s="332"/>
      <c r="B6" s="324"/>
      <c r="C6" s="334" t="s">
        <v>3</v>
      </c>
      <c r="D6" s="334" t="s">
        <v>4</v>
      </c>
      <c r="E6" s="324" t="s">
        <v>6</v>
      </c>
      <c r="F6" s="324" t="s">
        <v>7</v>
      </c>
      <c r="G6" s="324" t="s">
        <v>8</v>
      </c>
      <c r="H6" s="324" t="s">
        <v>6</v>
      </c>
      <c r="I6" s="324" t="s">
        <v>7</v>
      </c>
      <c r="J6" s="324" t="s">
        <v>8</v>
      </c>
      <c r="K6" s="323" t="s">
        <v>6</v>
      </c>
      <c r="L6" s="324" t="s">
        <v>7</v>
      </c>
      <c r="M6" s="324" t="s">
        <v>8</v>
      </c>
      <c r="N6" s="324" t="s">
        <v>13</v>
      </c>
      <c r="O6" s="324"/>
      <c r="P6" s="2" t="s">
        <v>14</v>
      </c>
      <c r="Q6" s="324" t="s">
        <v>15</v>
      </c>
      <c r="R6" s="328"/>
      <c r="S6" s="328"/>
    </row>
    <row r="7" spans="1:19" x14ac:dyDescent="0.25">
      <c r="A7" s="333"/>
      <c r="B7" s="324"/>
      <c r="C7" s="334"/>
      <c r="D7" s="334"/>
      <c r="E7" s="324"/>
      <c r="F7" s="324"/>
      <c r="G7" s="324"/>
      <c r="H7" s="324"/>
      <c r="I7" s="324"/>
      <c r="J7" s="324"/>
      <c r="K7" s="323"/>
      <c r="L7" s="324"/>
      <c r="M7" s="324"/>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222">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223"/>
      <c r="L9" s="34"/>
      <c r="M9" s="34"/>
      <c r="N9" s="37">
        <f t="shared" ref="N9:S9" si="0">N10+N26+N36+N32</f>
        <v>99776761.140000001</v>
      </c>
      <c r="O9" s="37">
        <f t="shared" si="0"/>
        <v>99422283.560000002</v>
      </c>
      <c r="P9" s="37">
        <f t="shared" si="0"/>
        <v>95326028.329999998</v>
      </c>
      <c r="Q9" s="37">
        <f t="shared" si="0"/>
        <v>72009276.620000005</v>
      </c>
      <c r="R9" s="37">
        <f t="shared" si="0"/>
        <v>71327758.810000002</v>
      </c>
      <c r="S9" s="37">
        <f t="shared" si="0"/>
        <v>69574345</v>
      </c>
    </row>
    <row r="10" spans="1:19" s="84" customFormat="1" ht="66.75" customHeight="1" x14ac:dyDescent="0.2">
      <c r="A10" s="81">
        <v>2500</v>
      </c>
      <c r="B10" s="85" t="s">
        <v>489</v>
      </c>
      <c r="C10" s="81"/>
      <c r="D10" s="81"/>
      <c r="E10" s="81"/>
      <c r="F10" s="81"/>
      <c r="G10" s="81"/>
      <c r="H10" s="82"/>
      <c r="I10" s="82"/>
      <c r="J10" s="82"/>
      <c r="K10" s="224"/>
      <c r="L10" s="82"/>
      <c r="M10" s="82"/>
      <c r="N10" s="83">
        <f t="shared" ref="N10:S10" si="1">N11+N15+N19+N23+N18</f>
        <v>37244974.57</v>
      </c>
      <c r="O10" s="83">
        <f t="shared" si="1"/>
        <v>37244974.57</v>
      </c>
      <c r="P10" s="83">
        <f t="shared" si="1"/>
        <v>21818016.899999999</v>
      </c>
      <c r="Q10" s="83">
        <f t="shared" si="1"/>
        <v>10847786.620000001</v>
      </c>
      <c r="R10" s="83">
        <f t="shared" si="1"/>
        <v>9574168.8100000005</v>
      </c>
      <c r="S10" s="83">
        <f t="shared" si="1"/>
        <v>7843855</v>
      </c>
    </row>
    <row r="11" spans="1:19" ht="45" x14ac:dyDescent="0.25">
      <c r="A11" s="276">
        <v>2508</v>
      </c>
      <c r="B11" s="279" t="s">
        <v>38</v>
      </c>
      <c r="C11" s="276">
        <v>901</v>
      </c>
      <c r="D11" s="286" t="s">
        <v>40</v>
      </c>
      <c r="E11" s="279" t="s">
        <v>20</v>
      </c>
      <c r="F11" s="279" t="s">
        <v>342</v>
      </c>
      <c r="G11" s="279" t="s">
        <v>21</v>
      </c>
      <c r="H11" s="9"/>
      <c r="I11" s="9"/>
      <c r="J11" s="9"/>
      <c r="K11" s="55" t="s">
        <v>29</v>
      </c>
      <c r="L11" s="9" t="s">
        <v>39</v>
      </c>
      <c r="M11" s="9" t="s">
        <v>30</v>
      </c>
      <c r="N11" s="273">
        <f>2133562.77+6749164.8</f>
        <v>8882727.5700000003</v>
      </c>
      <c r="O11" s="273">
        <f>2133562.77+6749164.8</f>
        <v>8882727.5700000003</v>
      </c>
      <c r="P11" s="273">
        <f>6267081.6+3256690.3</f>
        <v>9523771.8999999985</v>
      </c>
      <c r="Q11" s="304">
        <f>3878931.62</f>
        <v>3878931.62</v>
      </c>
      <c r="R11" s="273">
        <f>2605313.81</f>
        <v>2605313.81</v>
      </c>
      <c r="S11" s="273">
        <v>875000</v>
      </c>
    </row>
    <row r="12" spans="1:19" ht="154.5" customHeight="1" x14ac:dyDescent="0.25">
      <c r="A12" s="298"/>
      <c r="B12" s="297"/>
      <c r="C12" s="277"/>
      <c r="D12" s="288"/>
      <c r="E12" s="280"/>
      <c r="F12" s="280"/>
      <c r="G12" s="280"/>
      <c r="H12" s="9"/>
      <c r="I12" s="9"/>
      <c r="J12" s="9"/>
      <c r="K12" s="55" t="s">
        <v>412</v>
      </c>
      <c r="L12" s="55"/>
      <c r="M12" s="55" t="s">
        <v>413</v>
      </c>
      <c r="N12" s="275"/>
      <c r="O12" s="275"/>
      <c r="P12" s="275"/>
      <c r="Q12" s="305"/>
      <c r="R12" s="275"/>
      <c r="S12" s="275"/>
    </row>
    <row r="13" spans="1:19" ht="120" x14ac:dyDescent="0.25">
      <c r="A13" s="298"/>
      <c r="B13" s="297"/>
      <c r="C13" s="143"/>
      <c r="D13" s="144"/>
      <c r="E13" s="145"/>
      <c r="F13" s="145"/>
      <c r="G13" s="145"/>
      <c r="H13" s="235"/>
      <c r="I13" s="235"/>
      <c r="J13" s="235"/>
      <c r="K13" s="55" t="s">
        <v>455</v>
      </c>
      <c r="L13" s="55"/>
      <c r="M13" s="149" t="s">
        <v>479</v>
      </c>
      <c r="N13" s="274"/>
      <c r="O13" s="274"/>
      <c r="P13" s="274"/>
      <c r="Q13" s="306"/>
      <c r="R13" s="274"/>
      <c r="S13" s="274"/>
    </row>
    <row r="14" spans="1:19" ht="120" x14ac:dyDescent="0.25">
      <c r="A14" s="237"/>
      <c r="B14" s="236"/>
      <c r="C14" s="238"/>
      <c r="D14" s="219"/>
      <c r="E14" s="236"/>
      <c r="F14" s="236"/>
      <c r="G14" s="236"/>
      <c r="H14" s="236"/>
      <c r="I14" s="236"/>
      <c r="J14" s="236"/>
      <c r="K14" s="234" t="s">
        <v>563</v>
      </c>
      <c r="L14" s="55"/>
      <c r="M14" s="149" t="s">
        <v>558</v>
      </c>
      <c r="N14" s="217"/>
      <c r="O14" s="217"/>
      <c r="P14" s="217"/>
      <c r="Q14" s="221"/>
      <c r="R14" s="217"/>
      <c r="S14" s="217"/>
    </row>
    <row r="15" spans="1:19" ht="45" x14ac:dyDescent="0.25">
      <c r="A15" s="298">
        <v>2537</v>
      </c>
      <c r="B15" s="297" t="s">
        <v>41</v>
      </c>
      <c r="C15" s="276">
        <v>901</v>
      </c>
      <c r="D15" s="286" t="s">
        <v>34</v>
      </c>
      <c r="E15" s="279" t="s">
        <v>20</v>
      </c>
      <c r="F15" s="298" t="s">
        <v>42</v>
      </c>
      <c r="G15" s="298" t="s">
        <v>21</v>
      </c>
      <c r="H15" s="236"/>
      <c r="I15" s="236"/>
      <c r="J15" s="236"/>
      <c r="K15" s="55" t="s">
        <v>29</v>
      </c>
      <c r="L15" s="9" t="s">
        <v>39</v>
      </c>
      <c r="M15" s="9" t="s">
        <v>30</v>
      </c>
      <c r="N15" s="273">
        <v>3793527</v>
      </c>
      <c r="O15" s="273">
        <v>3793527</v>
      </c>
      <c r="P15" s="273">
        <v>4356845</v>
      </c>
      <c r="Q15" s="273">
        <v>3871455</v>
      </c>
      <c r="R15" s="273">
        <v>3871455</v>
      </c>
      <c r="S15" s="273">
        <v>3871455</v>
      </c>
    </row>
    <row r="16" spans="1:19" ht="165" x14ac:dyDescent="0.25">
      <c r="A16" s="298"/>
      <c r="B16" s="297"/>
      <c r="C16" s="298"/>
      <c r="D16" s="287"/>
      <c r="E16" s="280"/>
      <c r="F16" s="277"/>
      <c r="G16" s="277"/>
      <c r="H16" s="9"/>
      <c r="I16" s="9"/>
      <c r="J16" s="9"/>
      <c r="K16" s="55" t="s">
        <v>43</v>
      </c>
      <c r="L16" s="9"/>
      <c r="M16" s="9" t="s">
        <v>44</v>
      </c>
      <c r="N16" s="275"/>
      <c r="O16" s="275"/>
      <c r="P16" s="275"/>
      <c r="Q16" s="275"/>
      <c r="R16" s="275"/>
      <c r="S16" s="275"/>
    </row>
    <row r="17" spans="1:19" x14ac:dyDescent="0.25">
      <c r="A17" s="277"/>
      <c r="B17" s="280"/>
      <c r="C17" s="277"/>
      <c r="D17" s="288"/>
      <c r="E17" s="118"/>
      <c r="F17" s="119"/>
      <c r="G17" s="119"/>
      <c r="H17" s="9"/>
      <c r="I17" s="9"/>
      <c r="J17" s="9"/>
      <c r="K17" s="55"/>
      <c r="L17" s="9"/>
      <c r="M17" s="56"/>
      <c r="N17" s="274"/>
      <c r="O17" s="274"/>
      <c r="P17" s="274"/>
      <c r="Q17" s="274"/>
      <c r="R17" s="274"/>
      <c r="S17" s="274"/>
    </row>
    <row r="18" spans="1:19" ht="105.75" customHeight="1" x14ac:dyDescent="0.25">
      <c r="A18" s="212">
        <v>2543</v>
      </c>
      <c r="B18" s="40" t="s">
        <v>540</v>
      </c>
      <c r="C18" s="212">
        <v>901</v>
      </c>
      <c r="D18" s="213" t="s">
        <v>518</v>
      </c>
      <c r="E18" s="40" t="s">
        <v>20</v>
      </c>
      <c r="F18" s="40" t="s">
        <v>517</v>
      </c>
      <c r="G18" s="40" t="s">
        <v>91</v>
      </c>
      <c r="H18" s="24" t="s">
        <v>118</v>
      </c>
      <c r="I18" s="24" t="s">
        <v>119</v>
      </c>
      <c r="J18" s="24" t="s">
        <v>120</v>
      </c>
      <c r="K18" s="127" t="s">
        <v>29</v>
      </c>
      <c r="L18" s="9"/>
      <c r="M18" s="9" t="s">
        <v>37</v>
      </c>
      <c r="N18" s="199">
        <v>0</v>
      </c>
      <c r="O18" s="199">
        <v>0</v>
      </c>
      <c r="P18" s="199">
        <v>0</v>
      </c>
      <c r="Q18" s="199">
        <v>0</v>
      </c>
      <c r="R18" s="199">
        <v>0</v>
      </c>
      <c r="S18" s="199">
        <v>0</v>
      </c>
    </row>
    <row r="19" spans="1:19" ht="90" x14ac:dyDescent="0.25">
      <c r="A19" s="335">
        <v>2553</v>
      </c>
      <c r="B19" s="279" t="s">
        <v>565</v>
      </c>
      <c r="C19" s="276">
        <v>901</v>
      </c>
      <c r="D19" s="286" t="s">
        <v>491</v>
      </c>
      <c r="E19" s="9" t="s">
        <v>20</v>
      </c>
      <c r="F19" s="9" t="s">
        <v>47</v>
      </c>
      <c r="G19" s="9" t="s">
        <v>21</v>
      </c>
      <c r="H19" s="9"/>
      <c r="I19" s="9"/>
      <c r="J19" s="9"/>
      <c r="K19" s="55" t="s">
        <v>29</v>
      </c>
      <c r="L19" s="9"/>
      <c r="M19" s="56" t="s">
        <v>30</v>
      </c>
      <c r="N19" s="273">
        <v>24568720</v>
      </c>
      <c r="O19" s="273">
        <v>24568720</v>
      </c>
      <c r="P19" s="273">
        <v>7837400</v>
      </c>
      <c r="Q19" s="273">
        <v>2997400</v>
      </c>
      <c r="R19" s="273">
        <v>2997400</v>
      </c>
      <c r="S19" s="273">
        <v>2997400</v>
      </c>
    </row>
    <row r="20" spans="1:19" ht="135" x14ac:dyDescent="0.25">
      <c r="A20" s="337"/>
      <c r="B20" s="280"/>
      <c r="C20" s="277"/>
      <c r="D20" s="288"/>
      <c r="E20" s="9" t="s">
        <v>45</v>
      </c>
      <c r="F20" s="9" t="s">
        <v>335</v>
      </c>
      <c r="G20" s="9" t="s">
        <v>28</v>
      </c>
      <c r="H20" s="9"/>
      <c r="I20" s="9"/>
      <c r="J20" s="9"/>
      <c r="K20" s="55" t="s">
        <v>414</v>
      </c>
      <c r="L20" s="9"/>
      <c r="M20" s="9" t="s">
        <v>527</v>
      </c>
      <c r="N20" s="275"/>
      <c r="O20" s="275"/>
      <c r="P20" s="275"/>
      <c r="Q20" s="275"/>
      <c r="R20" s="275"/>
      <c r="S20" s="275"/>
    </row>
    <row r="21" spans="1:19" ht="120" x14ac:dyDescent="0.25">
      <c r="A21" s="190"/>
      <c r="B21" s="189"/>
      <c r="C21" s="188"/>
      <c r="D21" s="187"/>
      <c r="E21" s="9"/>
      <c r="F21" s="9"/>
      <c r="G21" s="9"/>
      <c r="H21" s="9"/>
      <c r="I21" s="9"/>
      <c r="J21" s="9"/>
      <c r="K21" s="55" t="s">
        <v>528</v>
      </c>
      <c r="L21" s="9"/>
      <c r="M21" s="56" t="s">
        <v>529</v>
      </c>
      <c r="N21" s="274"/>
      <c r="O21" s="274"/>
      <c r="P21" s="274"/>
      <c r="Q21" s="274"/>
      <c r="R21" s="274"/>
      <c r="S21" s="274"/>
    </row>
    <row r="22" spans="1:19" ht="135" x14ac:dyDescent="0.25">
      <c r="A22" s="209"/>
      <c r="B22" s="207"/>
      <c r="C22" s="205"/>
      <c r="D22" s="208"/>
      <c r="E22" s="206"/>
      <c r="F22" s="206"/>
      <c r="G22" s="206"/>
      <c r="H22" s="9"/>
      <c r="I22" s="9"/>
      <c r="J22" s="9"/>
      <c r="K22" s="127" t="s">
        <v>538</v>
      </c>
      <c r="L22" s="9"/>
      <c r="M22" s="56" t="s">
        <v>557</v>
      </c>
      <c r="N22" s="204"/>
      <c r="O22" s="204"/>
      <c r="P22" s="204"/>
      <c r="Q22" s="204"/>
      <c r="R22" s="204"/>
      <c r="S22" s="204"/>
    </row>
    <row r="23" spans="1:19" ht="45" x14ac:dyDescent="0.25">
      <c r="A23" s="335">
        <v>2557</v>
      </c>
      <c r="B23" s="279" t="s">
        <v>416</v>
      </c>
      <c r="C23" s="276">
        <v>901</v>
      </c>
      <c r="D23" s="286" t="s">
        <v>34</v>
      </c>
      <c r="E23" s="279" t="s">
        <v>20</v>
      </c>
      <c r="F23" s="279" t="s">
        <v>417</v>
      </c>
      <c r="G23" s="279" t="s">
        <v>21</v>
      </c>
      <c r="H23" s="9"/>
      <c r="I23" s="9"/>
      <c r="J23" s="9"/>
      <c r="K23" s="55" t="s">
        <v>29</v>
      </c>
      <c r="L23" s="9"/>
      <c r="M23" s="56" t="s">
        <v>30</v>
      </c>
      <c r="N23" s="273"/>
      <c r="O23" s="273"/>
      <c r="P23" s="273">
        <v>100000</v>
      </c>
      <c r="Q23" s="273">
        <v>100000</v>
      </c>
      <c r="R23" s="273">
        <v>100000</v>
      </c>
      <c r="S23" s="273">
        <v>100000</v>
      </c>
    </row>
    <row r="24" spans="1:19" ht="110.25" customHeight="1" x14ac:dyDescent="0.25">
      <c r="A24" s="336"/>
      <c r="B24" s="297"/>
      <c r="C24" s="298"/>
      <c r="D24" s="287"/>
      <c r="E24" s="297"/>
      <c r="F24" s="297"/>
      <c r="G24" s="297"/>
      <c r="H24" s="9"/>
      <c r="I24" s="9"/>
      <c r="J24" s="9"/>
      <c r="K24" s="55" t="s">
        <v>473</v>
      </c>
      <c r="L24" s="9"/>
      <c r="M24" s="56" t="s">
        <v>474</v>
      </c>
      <c r="N24" s="275"/>
      <c r="O24" s="275"/>
      <c r="P24" s="275"/>
      <c r="Q24" s="275"/>
      <c r="R24" s="275"/>
      <c r="S24" s="275"/>
    </row>
    <row r="25" spans="1:19" ht="137.25" customHeight="1" x14ac:dyDescent="0.25">
      <c r="A25" s="337"/>
      <c r="B25" s="280"/>
      <c r="C25" s="277"/>
      <c r="D25" s="288"/>
      <c r="E25" s="280"/>
      <c r="F25" s="280"/>
      <c r="G25" s="280"/>
      <c r="H25" s="9"/>
      <c r="I25" s="9"/>
      <c r="J25" s="9"/>
      <c r="K25" s="55" t="s">
        <v>31</v>
      </c>
      <c r="L25" s="9"/>
      <c r="M25" s="9" t="s">
        <v>32</v>
      </c>
      <c r="N25" s="274"/>
      <c r="O25" s="274"/>
      <c r="P25" s="274"/>
      <c r="Q25" s="274"/>
      <c r="R25" s="274"/>
      <c r="S25" s="274"/>
    </row>
    <row r="26" spans="1:19" s="20" customFormat="1" ht="114" x14ac:dyDescent="0.2">
      <c r="A26" s="65">
        <v>2600</v>
      </c>
      <c r="B26" s="165" t="s">
        <v>490</v>
      </c>
      <c r="C26" s="7"/>
      <c r="D26" s="7"/>
      <c r="E26" s="7"/>
      <c r="F26" s="7"/>
      <c r="G26" s="7"/>
      <c r="H26" s="7"/>
      <c r="I26" s="7"/>
      <c r="J26" s="7"/>
      <c r="K26" s="225"/>
      <c r="L26" s="7"/>
      <c r="M26" s="7"/>
      <c r="N26" s="38">
        <f>N27+N29+N31</f>
        <v>54430319.369999997</v>
      </c>
      <c r="O26" s="38">
        <f t="shared" ref="O26:S26" si="2">O27+O29+O31</f>
        <v>54430319.369999997</v>
      </c>
      <c r="P26" s="38">
        <f t="shared" si="2"/>
        <v>63163521.43</v>
      </c>
      <c r="Q26" s="38">
        <f t="shared" si="2"/>
        <v>52801890</v>
      </c>
      <c r="R26" s="38">
        <f t="shared" si="2"/>
        <v>53396790</v>
      </c>
      <c r="S26" s="38">
        <f t="shared" si="2"/>
        <v>53396790</v>
      </c>
    </row>
    <row r="27" spans="1:19" ht="90" x14ac:dyDescent="0.25">
      <c r="A27" s="309" t="s">
        <v>480</v>
      </c>
      <c r="B27" s="279" t="s">
        <v>566</v>
      </c>
      <c r="C27" s="311">
        <v>901</v>
      </c>
      <c r="D27" s="276" t="s">
        <v>19</v>
      </c>
      <c r="E27" s="132" t="s">
        <v>20</v>
      </c>
      <c r="F27" s="132" t="s">
        <v>340</v>
      </c>
      <c r="G27" s="133" t="s">
        <v>21</v>
      </c>
      <c r="H27" s="132" t="s">
        <v>24</v>
      </c>
      <c r="I27" s="135" t="s">
        <v>48</v>
      </c>
      <c r="J27" s="133" t="s">
        <v>26</v>
      </c>
      <c r="K27" s="55" t="s">
        <v>29</v>
      </c>
      <c r="L27" s="4"/>
      <c r="M27" s="9" t="s">
        <v>30</v>
      </c>
      <c r="N27" s="317">
        <f>2532549.9+43364298.81+1825046.05-433321.05</f>
        <v>47288573.710000001</v>
      </c>
      <c r="O27" s="317">
        <f>2532549.9+43364298.81+1825046.05-433321.05</f>
        <v>47288573.710000001</v>
      </c>
      <c r="P27" s="317">
        <f>2574501+48396108.5+138012+5456021.93-599168.8</f>
        <v>55965474.630000003</v>
      </c>
      <c r="Q27" s="344">
        <f>2468362+43824234+220000</f>
        <v>46512596</v>
      </c>
      <c r="R27" s="317">
        <f>2468362+44419134+220000</f>
        <v>47107496</v>
      </c>
      <c r="S27" s="317">
        <v>47107496</v>
      </c>
    </row>
    <row r="28" spans="1:19" ht="285" x14ac:dyDescent="0.25">
      <c r="A28" s="310"/>
      <c r="B28" s="297"/>
      <c r="C28" s="312"/>
      <c r="D28" s="298"/>
      <c r="E28" s="8" t="s">
        <v>22</v>
      </c>
      <c r="F28" s="6" t="s">
        <v>48</v>
      </c>
      <c r="G28" s="8" t="s">
        <v>23</v>
      </c>
      <c r="H28" s="9" t="s">
        <v>27</v>
      </c>
      <c r="I28" s="10" t="s">
        <v>48</v>
      </c>
      <c r="J28" s="9" t="s">
        <v>28</v>
      </c>
      <c r="K28" s="55"/>
      <c r="L28" s="9"/>
      <c r="M28" s="16"/>
      <c r="N28" s="318"/>
      <c r="O28" s="318"/>
      <c r="P28" s="343"/>
      <c r="Q28" s="346"/>
      <c r="R28" s="318"/>
      <c r="S28" s="318"/>
    </row>
    <row r="29" spans="1:19" ht="30" x14ac:dyDescent="0.25">
      <c r="A29" s="276">
        <v>2608</v>
      </c>
      <c r="B29" s="279" t="s">
        <v>364</v>
      </c>
      <c r="C29" s="276">
        <v>901</v>
      </c>
      <c r="D29" s="286" t="s">
        <v>34</v>
      </c>
      <c r="E29" s="279" t="s">
        <v>20</v>
      </c>
      <c r="F29" s="279" t="s">
        <v>341</v>
      </c>
      <c r="G29" s="276" t="s">
        <v>21</v>
      </c>
      <c r="H29" s="12"/>
      <c r="I29" s="9"/>
      <c r="J29" s="9"/>
      <c r="K29" s="55" t="s">
        <v>29</v>
      </c>
      <c r="L29" s="6" t="s">
        <v>36</v>
      </c>
      <c r="M29" s="9" t="s">
        <v>37</v>
      </c>
      <c r="N29" s="273">
        <v>6708424.6100000003</v>
      </c>
      <c r="O29" s="273">
        <v>6708424.6100000003</v>
      </c>
      <c r="P29" s="273">
        <v>6698878</v>
      </c>
      <c r="Q29" s="273">
        <v>5880167</v>
      </c>
      <c r="R29" s="317">
        <v>5880167</v>
      </c>
      <c r="S29" s="317">
        <v>5880167</v>
      </c>
    </row>
    <row r="30" spans="1:19" ht="90" x14ac:dyDescent="0.25">
      <c r="A30" s="277"/>
      <c r="B30" s="280"/>
      <c r="C30" s="277"/>
      <c r="D30" s="288"/>
      <c r="E30" s="280"/>
      <c r="F30" s="280"/>
      <c r="G30" s="277"/>
      <c r="H30" s="9"/>
      <c r="I30" s="9"/>
      <c r="J30" s="9"/>
      <c r="K30" s="55" t="s">
        <v>544</v>
      </c>
      <c r="L30" s="6"/>
      <c r="M30" s="9" t="s">
        <v>559</v>
      </c>
      <c r="N30" s="274"/>
      <c r="O30" s="274"/>
      <c r="P30" s="274"/>
      <c r="Q30" s="274"/>
      <c r="R30" s="343"/>
      <c r="S30" s="343"/>
    </row>
    <row r="31" spans="1:19" ht="90" x14ac:dyDescent="0.25">
      <c r="A31" s="63">
        <v>2626</v>
      </c>
      <c r="B31" s="53" t="s">
        <v>567</v>
      </c>
      <c r="C31" s="52">
        <v>901</v>
      </c>
      <c r="D31" s="54" t="s">
        <v>34</v>
      </c>
      <c r="E31" s="9" t="s">
        <v>20</v>
      </c>
      <c r="F31" s="9" t="s">
        <v>386</v>
      </c>
      <c r="G31" s="9" t="s">
        <v>21</v>
      </c>
      <c r="H31" s="9"/>
      <c r="I31" s="9"/>
      <c r="J31" s="9"/>
      <c r="K31" s="55" t="s">
        <v>29</v>
      </c>
      <c r="L31" s="9"/>
      <c r="M31" s="9" t="s">
        <v>30</v>
      </c>
      <c r="N31" s="183">
        <v>433321.05</v>
      </c>
      <c r="O31" s="183">
        <v>433321.05</v>
      </c>
      <c r="P31" s="183">
        <v>499168.8</v>
      </c>
      <c r="Q31" s="183">
        <v>409127</v>
      </c>
      <c r="R31" s="183">
        <v>409127</v>
      </c>
      <c r="S31" s="183">
        <v>409127</v>
      </c>
    </row>
    <row r="32" spans="1:19" s="20" customFormat="1" ht="156.75" x14ac:dyDescent="0.2">
      <c r="A32" s="156">
        <v>3100</v>
      </c>
      <c r="B32" s="157" t="s">
        <v>568</v>
      </c>
      <c r="C32" s="158"/>
      <c r="D32" s="159"/>
      <c r="E32" s="15"/>
      <c r="F32" s="15"/>
      <c r="G32" s="15"/>
      <c r="H32" s="15"/>
      <c r="I32" s="15"/>
      <c r="J32" s="15"/>
      <c r="K32" s="226"/>
      <c r="L32" s="15"/>
      <c r="M32" s="15"/>
      <c r="N32" s="184">
        <f>N33+N35</f>
        <v>830267.2</v>
      </c>
      <c r="O32" s="184">
        <f>O33+O35</f>
        <v>786312.08</v>
      </c>
      <c r="P32" s="184">
        <f>P33</f>
        <v>886400</v>
      </c>
      <c r="Q32" s="184">
        <f t="shared" ref="Q32:S32" si="3">Q33</f>
        <v>25900</v>
      </c>
      <c r="R32" s="184">
        <f t="shared" si="3"/>
        <v>23100</v>
      </c>
      <c r="S32" s="184">
        <f t="shared" si="3"/>
        <v>0</v>
      </c>
    </row>
    <row r="33" spans="1:19" ht="150" x14ac:dyDescent="0.25">
      <c r="A33" s="276">
        <v>3103</v>
      </c>
      <c r="B33" s="279" t="s">
        <v>569</v>
      </c>
      <c r="C33" s="276">
        <v>901</v>
      </c>
      <c r="D33" s="286" t="s">
        <v>82</v>
      </c>
      <c r="E33" s="9" t="s">
        <v>81</v>
      </c>
      <c r="F33" s="9" t="s">
        <v>46</v>
      </c>
      <c r="G33" s="9" t="s">
        <v>83</v>
      </c>
      <c r="H33" s="9" t="s">
        <v>85</v>
      </c>
      <c r="I33" s="9" t="s">
        <v>48</v>
      </c>
      <c r="J33" s="9" t="s">
        <v>86</v>
      </c>
      <c r="K33" s="55" t="s">
        <v>395</v>
      </c>
      <c r="L33" s="9"/>
      <c r="M33" s="9" t="s">
        <v>396</v>
      </c>
      <c r="N33" s="273">
        <v>43900</v>
      </c>
      <c r="O33" s="273">
        <v>0</v>
      </c>
      <c r="P33" s="273">
        <v>886400</v>
      </c>
      <c r="Q33" s="273">
        <v>25900</v>
      </c>
      <c r="R33" s="273">
        <v>23100</v>
      </c>
      <c r="S33" s="273">
        <v>0</v>
      </c>
    </row>
    <row r="34" spans="1:19" ht="150" x14ac:dyDescent="0.25">
      <c r="A34" s="277"/>
      <c r="B34" s="280"/>
      <c r="C34" s="277"/>
      <c r="D34" s="288"/>
      <c r="E34" s="9" t="s">
        <v>61</v>
      </c>
      <c r="F34" s="9" t="s">
        <v>84</v>
      </c>
      <c r="G34" s="9" t="s">
        <v>63</v>
      </c>
      <c r="H34" s="9"/>
      <c r="I34" s="9"/>
      <c r="J34" s="9"/>
      <c r="K34" s="55"/>
      <c r="L34" s="9"/>
      <c r="M34" s="9"/>
      <c r="N34" s="274"/>
      <c r="O34" s="274"/>
      <c r="P34" s="274"/>
      <c r="Q34" s="274"/>
      <c r="R34" s="274"/>
      <c r="S34" s="274"/>
    </row>
    <row r="35" spans="1:19" ht="210" x14ac:dyDescent="0.25">
      <c r="A35" s="201">
        <v>3130</v>
      </c>
      <c r="B35" s="202" t="s">
        <v>570</v>
      </c>
      <c r="C35" s="201">
        <v>901</v>
      </c>
      <c r="D35" s="203" t="s">
        <v>34</v>
      </c>
      <c r="E35" s="9" t="s">
        <v>61</v>
      </c>
      <c r="F35" s="9" t="s">
        <v>84</v>
      </c>
      <c r="G35" s="9" t="s">
        <v>63</v>
      </c>
      <c r="H35" s="9" t="s">
        <v>534</v>
      </c>
      <c r="I35" s="9"/>
      <c r="J35" s="9" t="s">
        <v>535</v>
      </c>
      <c r="K35" s="55" t="s">
        <v>536</v>
      </c>
      <c r="L35" s="9"/>
      <c r="M35" s="55" t="s">
        <v>537</v>
      </c>
      <c r="N35" s="210">
        <v>786367.2</v>
      </c>
      <c r="O35" s="210">
        <v>786312.08</v>
      </c>
      <c r="P35" s="210">
        <v>0</v>
      </c>
      <c r="Q35" s="210"/>
      <c r="R35" s="210"/>
      <c r="S35" s="210"/>
    </row>
    <row r="36" spans="1:19" s="20" customFormat="1" ht="42.75" x14ac:dyDescent="0.2">
      <c r="A36" s="14">
        <v>3200</v>
      </c>
      <c r="B36" s="15" t="s">
        <v>571</v>
      </c>
      <c r="C36" s="25"/>
      <c r="D36" s="66"/>
      <c r="E36" s="25"/>
      <c r="F36" s="25"/>
      <c r="G36" s="25"/>
      <c r="H36" s="25"/>
      <c r="I36" s="25"/>
      <c r="J36" s="25"/>
      <c r="K36" s="226"/>
      <c r="L36" s="15"/>
      <c r="M36" s="15"/>
      <c r="N36" s="185">
        <f t="shared" ref="N36:O36" si="4">SUM(N37:N43)+N46+N44</f>
        <v>7271200</v>
      </c>
      <c r="O36" s="185">
        <f t="shared" si="4"/>
        <v>6960677.54</v>
      </c>
      <c r="P36" s="185">
        <f>SUM(P37:P43)+P46+P44</f>
        <v>9458090</v>
      </c>
      <c r="Q36" s="185">
        <f t="shared" ref="Q36:S36" si="5">SUM(Q37:Q43)+Q46+Q44</f>
        <v>8333700</v>
      </c>
      <c r="R36" s="185">
        <f t="shared" si="5"/>
        <v>8333700</v>
      </c>
      <c r="S36" s="185">
        <f t="shared" si="5"/>
        <v>8333700</v>
      </c>
    </row>
    <row r="37" spans="1:19" ht="122.25" customHeight="1" x14ac:dyDescent="0.25">
      <c r="A37" s="112" t="s">
        <v>573</v>
      </c>
      <c r="B37" s="111" t="s">
        <v>572</v>
      </c>
      <c r="C37" s="67">
        <v>901</v>
      </c>
      <c r="D37" s="69" t="s">
        <v>34</v>
      </c>
      <c r="E37" s="68" t="s">
        <v>54</v>
      </c>
      <c r="F37" s="68" t="s">
        <v>55</v>
      </c>
      <c r="G37" s="68" t="s">
        <v>56</v>
      </c>
      <c r="H37" s="68" t="s">
        <v>57</v>
      </c>
      <c r="I37" s="68" t="s">
        <v>48</v>
      </c>
      <c r="J37" s="68" t="s">
        <v>58</v>
      </c>
      <c r="K37" s="234" t="s">
        <v>390</v>
      </c>
      <c r="L37" s="9"/>
      <c r="M37" s="55" t="s">
        <v>394</v>
      </c>
      <c r="N37" s="186">
        <v>286500</v>
      </c>
      <c r="O37" s="186">
        <v>286500</v>
      </c>
      <c r="P37" s="186">
        <v>327190</v>
      </c>
      <c r="Q37" s="186">
        <v>292200</v>
      </c>
      <c r="R37" s="186">
        <v>292200</v>
      </c>
      <c r="S37" s="186">
        <v>292200</v>
      </c>
    </row>
    <row r="38" spans="1:19" ht="229.5" customHeight="1" x14ac:dyDescent="0.25">
      <c r="A38" s="166" t="s">
        <v>492</v>
      </c>
      <c r="B38" s="57" t="s">
        <v>59</v>
      </c>
      <c r="C38" s="11">
        <v>901</v>
      </c>
      <c r="D38" s="18" t="s">
        <v>60</v>
      </c>
      <c r="E38" s="9" t="s">
        <v>61</v>
      </c>
      <c r="F38" s="9" t="s">
        <v>62</v>
      </c>
      <c r="G38" s="9" t="s">
        <v>63</v>
      </c>
      <c r="H38" s="9" t="s">
        <v>64</v>
      </c>
      <c r="I38" s="9" t="s">
        <v>48</v>
      </c>
      <c r="J38" s="9" t="s">
        <v>65</v>
      </c>
      <c r="K38" s="55" t="s">
        <v>88</v>
      </c>
      <c r="L38" s="9"/>
      <c r="M38" s="9" t="s">
        <v>66</v>
      </c>
      <c r="N38" s="186">
        <v>278800</v>
      </c>
      <c r="O38" s="186">
        <v>278800</v>
      </c>
      <c r="P38" s="186">
        <v>290400</v>
      </c>
      <c r="Q38" s="186">
        <v>254400</v>
      </c>
      <c r="R38" s="186">
        <v>254400</v>
      </c>
      <c r="S38" s="186">
        <v>254400</v>
      </c>
    </row>
    <row r="39" spans="1:19" ht="150" x14ac:dyDescent="0.25">
      <c r="A39" s="166" t="s">
        <v>492</v>
      </c>
      <c r="B39" s="128" t="s">
        <v>442</v>
      </c>
      <c r="C39" s="130">
        <v>901</v>
      </c>
      <c r="D39" s="129" t="s">
        <v>60</v>
      </c>
      <c r="E39" s="128" t="s">
        <v>61</v>
      </c>
      <c r="F39" s="128" t="s">
        <v>69</v>
      </c>
      <c r="G39" s="128" t="s">
        <v>63</v>
      </c>
      <c r="H39" s="9"/>
      <c r="I39" s="9"/>
      <c r="J39" s="9"/>
      <c r="K39" s="55" t="s">
        <v>500</v>
      </c>
      <c r="L39" s="55"/>
      <c r="M39" s="55" t="s">
        <v>506</v>
      </c>
      <c r="N39" s="182">
        <v>1085300</v>
      </c>
      <c r="O39" s="182">
        <v>774777.54</v>
      </c>
      <c r="P39" s="182">
        <v>2200800</v>
      </c>
      <c r="Q39" s="182">
        <v>1951900</v>
      </c>
      <c r="R39" s="182">
        <v>1951900</v>
      </c>
      <c r="S39" s="182">
        <v>1951900</v>
      </c>
    </row>
    <row r="40" spans="1:19" ht="195" x14ac:dyDescent="0.25">
      <c r="A40" s="276" t="s">
        <v>492</v>
      </c>
      <c r="B40" s="279" t="s">
        <v>67</v>
      </c>
      <c r="C40" s="308">
        <v>901</v>
      </c>
      <c r="D40" s="286" t="s">
        <v>60</v>
      </c>
      <c r="E40" s="347" t="s">
        <v>61</v>
      </c>
      <c r="F40" s="276" t="s">
        <v>69</v>
      </c>
      <c r="G40" s="276" t="s">
        <v>63</v>
      </c>
      <c r="H40" s="9" t="s">
        <v>70</v>
      </c>
      <c r="I40" s="9" t="s">
        <v>48</v>
      </c>
      <c r="J40" s="9" t="s">
        <v>71</v>
      </c>
      <c r="K40" s="55" t="s">
        <v>74</v>
      </c>
      <c r="L40" s="9"/>
      <c r="M40" s="9" t="s">
        <v>75</v>
      </c>
      <c r="N40" s="273">
        <v>2438800</v>
      </c>
      <c r="O40" s="273">
        <v>2438800</v>
      </c>
      <c r="P40" s="273">
        <v>2790100</v>
      </c>
      <c r="Q40" s="273">
        <v>2441600</v>
      </c>
      <c r="R40" s="273">
        <v>2441600</v>
      </c>
      <c r="S40" s="273">
        <v>2441600</v>
      </c>
    </row>
    <row r="41" spans="1:19" ht="90" x14ac:dyDescent="0.25">
      <c r="A41" s="277"/>
      <c r="B41" s="280"/>
      <c r="C41" s="321"/>
      <c r="D41" s="288"/>
      <c r="E41" s="348"/>
      <c r="F41" s="277"/>
      <c r="G41" s="277"/>
      <c r="H41" s="9" t="s">
        <v>72</v>
      </c>
      <c r="I41" s="9" t="s">
        <v>48</v>
      </c>
      <c r="J41" s="9" t="s">
        <v>73</v>
      </c>
      <c r="K41" s="55"/>
      <c r="L41" s="9"/>
      <c r="M41" s="9"/>
      <c r="N41" s="274"/>
      <c r="O41" s="274"/>
      <c r="P41" s="274"/>
      <c r="Q41" s="274"/>
      <c r="R41" s="274"/>
      <c r="S41" s="274"/>
    </row>
    <row r="42" spans="1:19" ht="180" x14ac:dyDescent="0.25">
      <c r="A42" s="298" t="s">
        <v>492</v>
      </c>
      <c r="B42" s="297" t="s">
        <v>76</v>
      </c>
      <c r="C42" s="276">
        <v>901</v>
      </c>
      <c r="D42" s="286" t="s">
        <v>60</v>
      </c>
      <c r="E42" s="9" t="s">
        <v>61</v>
      </c>
      <c r="F42" s="9" t="s">
        <v>68</v>
      </c>
      <c r="G42" s="9" t="s">
        <v>63</v>
      </c>
      <c r="H42" s="9" t="s">
        <v>77</v>
      </c>
      <c r="I42" s="9" t="s">
        <v>48</v>
      </c>
      <c r="J42" s="9" t="s">
        <v>78</v>
      </c>
      <c r="K42" s="55" t="s">
        <v>391</v>
      </c>
      <c r="L42" s="9"/>
      <c r="M42" s="55" t="s">
        <v>394</v>
      </c>
      <c r="N42" s="273">
        <v>907100</v>
      </c>
      <c r="O42" s="273">
        <v>907100</v>
      </c>
      <c r="P42" s="273">
        <v>1027300</v>
      </c>
      <c r="Q42" s="273">
        <v>911100</v>
      </c>
      <c r="R42" s="273">
        <v>911100</v>
      </c>
      <c r="S42" s="273">
        <v>911100</v>
      </c>
    </row>
    <row r="43" spans="1:19" ht="75" x14ac:dyDescent="0.25">
      <c r="A43" s="277"/>
      <c r="B43" s="280"/>
      <c r="C43" s="277"/>
      <c r="D43" s="288"/>
      <c r="E43" s="9"/>
      <c r="F43" s="9"/>
      <c r="G43" s="9"/>
      <c r="H43" s="9" t="s">
        <v>79</v>
      </c>
      <c r="I43" s="9" t="s">
        <v>48</v>
      </c>
      <c r="J43" s="9" t="s">
        <v>80</v>
      </c>
      <c r="K43" s="55"/>
      <c r="L43" s="9"/>
      <c r="M43" s="55"/>
      <c r="N43" s="274"/>
      <c r="O43" s="274"/>
      <c r="P43" s="274"/>
      <c r="Q43" s="274"/>
      <c r="R43" s="274"/>
      <c r="S43" s="274"/>
    </row>
    <row r="44" spans="1:19" ht="360" x14ac:dyDescent="0.25">
      <c r="A44" s="179">
        <v>3201.3202000000001</v>
      </c>
      <c r="B44" s="176" t="s">
        <v>512</v>
      </c>
      <c r="C44" s="177">
        <v>901</v>
      </c>
      <c r="D44" s="178" t="s">
        <v>60</v>
      </c>
      <c r="E44" s="9" t="s">
        <v>61</v>
      </c>
      <c r="F44" s="9" t="s">
        <v>68</v>
      </c>
      <c r="G44" s="9" t="s">
        <v>63</v>
      </c>
      <c r="H44" s="180" t="s">
        <v>514</v>
      </c>
      <c r="I44" s="9"/>
      <c r="J44" s="9" t="s">
        <v>515</v>
      </c>
      <c r="K44" s="55" t="s">
        <v>513</v>
      </c>
      <c r="L44" s="9"/>
      <c r="M44" s="55" t="s">
        <v>516</v>
      </c>
      <c r="N44" s="273">
        <v>143900</v>
      </c>
      <c r="O44" s="273">
        <v>143900</v>
      </c>
      <c r="P44" s="273">
        <v>395000</v>
      </c>
      <c r="Q44" s="273">
        <v>345500</v>
      </c>
      <c r="R44" s="273">
        <v>345500</v>
      </c>
      <c r="S44" s="273">
        <v>345500</v>
      </c>
    </row>
    <row r="45" spans="1:19" ht="198.75" customHeight="1" x14ac:dyDescent="0.25">
      <c r="A45" s="263"/>
      <c r="B45" s="261"/>
      <c r="C45" s="260"/>
      <c r="D45" s="262"/>
      <c r="E45" s="9"/>
      <c r="F45" s="9"/>
      <c r="G45" s="9"/>
      <c r="H45" s="266"/>
      <c r="I45" s="9"/>
      <c r="J45" s="9"/>
      <c r="K45" s="55" t="s">
        <v>597</v>
      </c>
      <c r="L45" s="9"/>
      <c r="M45" s="55" t="s">
        <v>598</v>
      </c>
      <c r="N45" s="274"/>
      <c r="O45" s="274"/>
      <c r="P45" s="274"/>
      <c r="Q45" s="274"/>
      <c r="R45" s="274"/>
      <c r="S45" s="274"/>
    </row>
    <row r="46" spans="1:19" ht="240" x14ac:dyDescent="0.25">
      <c r="A46" s="166" t="s">
        <v>492</v>
      </c>
      <c r="B46" s="103" t="s">
        <v>574</v>
      </c>
      <c r="C46" s="104">
        <v>901</v>
      </c>
      <c r="D46" s="105" t="s">
        <v>344</v>
      </c>
      <c r="E46" s="9" t="s">
        <v>61</v>
      </c>
      <c r="F46" s="9" t="s">
        <v>68</v>
      </c>
      <c r="G46" s="9" t="s">
        <v>63</v>
      </c>
      <c r="H46" s="9" t="s">
        <v>418</v>
      </c>
      <c r="I46" s="9" t="s">
        <v>216</v>
      </c>
      <c r="J46" s="9" t="s">
        <v>419</v>
      </c>
      <c r="K46" s="55" t="s">
        <v>424</v>
      </c>
      <c r="L46" s="9"/>
      <c r="M46" s="55" t="s">
        <v>434</v>
      </c>
      <c r="N46" s="183">
        <v>2130800</v>
      </c>
      <c r="O46" s="183">
        <v>2130800</v>
      </c>
      <c r="P46" s="183">
        <v>2427300</v>
      </c>
      <c r="Q46" s="183">
        <v>2137000</v>
      </c>
      <c r="R46" s="183">
        <v>2137000</v>
      </c>
      <c r="S46" s="183">
        <v>2137000</v>
      </c>
    </row>
    <row r="47" spans="1:19" ht="28.5" x14ac:dyDescent="0.25">
      <c r="A47" s="30"/>
      <c r="B47" s="29" t="s">
        <v>89</v>
      </c>
      <c r="C47" s="30">
        <v>902</v>
      </c>
      <c r="D47" s="31"/>
      <c r="E47" s="29"/>
      <c r="F47" s="29"/>
      <c r="G47" s="29"/>
      <c r="H47" s="29"/>
      <c r="I47" s="29"/>
      <c r="J47" s="29"/>
      <c r="K47" s="227"/>
      <c r="L47" s="29"/>
      <c r="M47" s="29"/>
      <c r="N47" s="191">
        <f t="shared" ref="N47:S47" si="6">N48+N60+N56</f>
        <v>63114186.149999999</v>
      </c>
      <c r="O47" s="191">
        <f t="shared" si="6"/>
        <v>51216323.109999999</v>
      </c>
      <c r="P47" s="191">
        <f t="shared" si="6"/>
        <v>78329800.370000005</v>
      </c>
      <c r="Q47" s="191">
        <f t="shared" si="6"/>
        <v>137343545</v>
      </c>
      <c r="R47" s="191">
        <f t="shared" si="6"/>
        <v>74540545</v>
      </c>
      <c r="S47" s="191">
        <f t="shared" si="6"/>
        <v>53179645</v>
      </c>
    </row>
    <row r="48" spans="1:19" s="20" customFormat="1" ht="57" x14ac:dyDescent="0.2">
      <c r="A48" s="81">
        <v>2500</v>
      </c>
      <c r="B48" s="85" t="s">
        <v>489</v>
      </c>
      <c r="C48" s="14"/>
      <c r="D48" s="23"/>
      <c r="E48" s="15"/>
      <c r="F48" s="15"/>
      <c r="G48" s="15"/>
      <c r="H48" s="15"/>
      <c r="I48" s="15"/>
      <c r="J48" s="15"/>
      <c r="K48" s="226"/>
      <c r="L48" s="15"/>
      <c r="M48" s="15"/>
      <c r="N48" s="185">
        <f t="shared" ref="N48:S48" si="7">N49+N53+N54</f>
        <v>7426272.8099999996</v>
      </c>
      <c r="O48" s="185">
        <f t="shared" si="7"/>
        <v>7426272.8099999996</v>
      </c>
      <c r="P48" s="185">
        <f t="shared" si="7"/>
        <v>8286098</v>
      </c>
      <c r="Q48" s="185">
        <f t="shared" si="7"/>
        <v>2055073</v>
      </c>
      <c r="R48" s="185">
        <f t="shared" si="7"/>
        <v>1691573</v>
      </c>
      <c r="S48" s="185">
        <f t="shared" si="7"/>
        <v>1691573</v>
      </c>
    </row>
    <row r="49" spans="1:19" ht="225" x14ac:dyDescent="0.25">
      <c r="A49" s="276">
        <v>2504</v>
      </c>
      <c r="B49" s="279" t="s">
        <v>90</v>
      </c>
      <c r="C49" s="276">
        <v>902</v>
      </c>
      <c r="D49" s="286" t="s">
        <v>34</v>
      </c>
      <c r="E49" s="9" t="s">
        <v>20</v>
      </c>
      <c r="F49" s="9" t="s">
        <v>94</v>
      </c>
      <c r="G49" s="9" t="s">
        <v>91</v>
      </c>
      <c r="H49" s="9" t="s">
        <v>101</v>
      </c>
      <c r="I49" s="9" t="s">
        <v>48</v>
      </c>
      <c r="J49" s="9" t="s">
        <v>26</v>
      </c>
      <c r="K49" s="55" t="s">
        <v>397</v>
      </c>
      <c r="L49" s="9"/>
      <c r="M49" s="9" t="s">
        <v>106</v>
      </c>
      <c r="N49" s="273">
        <f>737000+96000</f>
        <v>833000</v>
      </c>
      <c r="O49" s="273">
        <f>737000+96000</f>
        <v>833000</v>
      </c>
      <c r="P49" s="273">
        <f>1196000+96000</f>
        <v>1292000</v>
      </c>
      <c r="Q49" s="273">
        <v>0</v>
      </c>
      <c r="R49" s="273">
        <v>0</v>
      </c>
      <c r="S49" s="273">
        <v>0</v>
      </c>
    </row>
    <row r="50" spans="1:19" ht="90" x14ac:dyDescent="0.25">
      <c r="A50" s="298"/>
      <c r="B50" s="297"/>
      <c r="C50" s="298"/>
      <c r="D50" s="287"/>
      <c r="E50" s="9" t="s">
        <v>92</v>
      </c>
      <c r="F50" s="9" t="s">
        <v>93</v>
      </c>
      <c r="G50" s="9" t="s">
        <v>95</v>
      </c>
      <c r="H50" s="9" t="s">
        <v>102</v>
      </c>
      <c r="I50" s="9" t="s">
        <v>48</v>
      </c>
      <c r="J50" s="9" t="s">
        <v>103</v>
      </c>
      <c r="K50" s="55" t="s">
        <v>107</v>
      </c>
      <c r="L50" s="9"/>
      <c r="M50" s="9" t="s">
        <v>108</v>
      </c>
      <c r="N50" s="275"/>
      <c r="O50" s="275"/>
      <c r="P50" s="275"/>
      <c r="Q50" s="275"/>
      <c r="R50" s="275"/>
      <c r="S50" s="275"/>
    </row>
    <row r="51" spans="1:19" ht="180" x14ac:dyDescent="0.25">
      <c r="A51" s="298"/>
      <c r="B51" s="297"/>
      <c r="C51" s="298"/>
      <c r="D51" s="287"/>
      <c r="E51" s="9" t="s">
        <v>96</v>
      </c>
      <c r="F51" s="9" t="s">
        <v>97</v>
      </c>
      <c r="G51" s="9" t="s">
        <v>98</v>
      </c>
      <c r="H51" s="9" t="s">
        <v>104</v>
      </c>
      <c r="I51" s="9" t="s">
        <v>48</v>
      </c>
      <c r="J51" s="9" t="s">
        <v>105</v>
      </c>
      <c r="K51" s="55" t="s">
        <v>109</v>
      </c>
      <c r="L51" s="9"/>
      <c r="M51" s="9" t="s">
        <v>110</v>
      </c>
      <c r="N51" s="275"/>
      <c r="O51" s="275"/>
      <c r="P51" s="275"/>
      <c r="Q51" s="275"/>
      <c r="R51" s="275"/>
      <c r="S51" s="275"/>
    </row>
    <row r="52" spans="1:19" ht="285" x14ac:dyDescent="0.25">
      <c r="A52" s="277"/>
      <c r="B52" s="280"/>
      <c r="C52" s="277"/>
      <c r="D52" s="288"/>
      <c r="E52" s="9" t="s">
        <v>99</v>
      </c>
      <c r="F52" s="9" t="s">
        <v>48</v>
      </c>
      <c r="G52" s="9" t="s">
        <v>100</v>
      </c>
      <c r="H52" s="9" t="s">
        <v>27</v>
      </c>
      <c r="I52" s="10" t="s">
        <v>48</v>
      </c>
      <c r="J52" s="9" t="s">
        <v>28</v>
      </c>
      <c r="K52" s="55" t="s">
        <v>29</v>
      </c>
      <c r="L52" s="9" t="s">
        <v>111</v>
      </c>
      <c r="M52" s="9" t="s">
        <v>30</v>
      </c>
      <c r="N52" s="274"/>
      <c r="O52" s="274"/>
      <c r="P52" s="274"/>
      <c r="Q52" s="274"/>
      <c r="R52" s="274"/>
      <c r="S52" s="274"/>
    </row>
    <row r="53" spans="1:19" ht="135" x14ac:dyDescent="0.25">
      <c r="A53" s="11">
        <v>2508</v>
      </c>
      <c r="B53" s="9" t="s">
        <v>38</v>
      </c>
      <c r="C53" s="11">
        <v>902</v>
      </c>
      <c r="D53" s="18" t="s">
        <v>112</v>
      </c>
      <c r="E53" s="9" t="s">
        <v>20</v>
      </c>
      <c r="F53" s="9" t="s">
        <v>113</v>
      </c>
      <c r="G53" s="9" t="s">
        <v>91</v>
      </c>
      <c r="H53" s="9"/>
      <c r="I53" s="9"/>
      <c r="J53" s="9"/>
      <c r="K53" s="55" t="s">
        <v>29</v>
      </c>
      <c r="L53" s="9" t="s">
        <v>114</v>
      </c>
      <c r="M53" s="9" t="s">
        <v>30</v>
      </c>
      <c r="N53" s="186">
        <v>6056884.6299999999</v>
      </c>
      <c r="O53" s="186">
        <v>6056884.6299999999</v>
      </c>
      <c r="P53" s="186">
        <v>6144098</v>
      </c>
      <c r="Q53" s="186">
        <v>2055073</v>
      </c>
      <c r="R53" s="186">
        <v>1691573</v>
      </c>
      <c r="S53" s="186">
        <v>1691573</v>
      </c>
    </row>
    <row r="54" spans="1:19" ht="409.5" customHeight="1" x14ac:dyDescent="0.25">
      <c r="A54" s="276">
        <v>2544</v>
      </c>
      <c r="B54" s="279" t="s">
        <v>575</v>
      </c>
      <c r="C54" s="276">
        <v>902</v>
      </c>
      <c r="D54" s="286" t="s">
        <v>116</v>
      </c>
      <c r="E54" s="9" t="s">
        <v>20</v>
      </c>
      <c r="F54" s="9" t="s">
        <v>117</v>
      </c>
      <c r="G54" s="9" t="s">
        <v>91</v>
      </c>
      <c r="H54" s="9" t="s">
        <v>118</v>
      </c>
      <c r="I54" s="9" t="s">
        <v>119</v>
      </c>
      <c r="J54" s="9" t="s">
        <v>120</v>
      </c>
      <c r="K54" s="55" t="s">
        <v>29</v>
      </c>
      <c r="L54" s="9"/>
      <c r="M54" s="9" t="s">
        <v>37</v>
      </c>
      <c r="N54" s="273">
        <v>536388.18000000005</v>
      </c>
      <c r="O54" s="273">
        <v>536388.18000000005</v>
      </c>
      <c r="P54" s="273">
        <v>850000</v>
      </c>
      <c r="Q54" s="273">
        <v>0</v>
      </c>
      <c r="R54" s="273">
        <v>0</v>
      </c>
      <c r="S54" s="273">
        <v>0</v>
      </c>
    </row>
    <row r="55" spans="1:19" ht="409.5" customHeight="1" x14ac:dyDescent="0.25">
      <c r="A55" s="277"/>
      <c r="B55" s="280"/>
      <c r="C55" s="277"/>
      <c r="D55" s="288"/>
      <c r="E55" s="9"/>
      <c r="F55" s="9"/>
      <c r="G55" s="9"/>
      <c r="H55" s="9"/>
      <c r="I55" s="9"/>
      <c r="J55" s="9"/>
      <c r="K55" s="55" t="s">
        <v>121</v>
      </c>
      <c r="L55" s="9"/>
      <c r="M55" s="9" t="s">
        <v>122</v>
      </c>
      <c r="N55" s="274"/>
      <c r="O55" s="274"/>
      <c r="P55" s="274"/>
      <c r="Q55" s="274"/>
      <c r="R55" s="274"/>
      <c r="S55" s="274"/>
    </row>
    <row r="56" spans="1:19" s="20" customFormat="1" ht="114" x14ac:dyDescent="0.2">
      <c r="A56" s="65">
        <v>2600</v>
      </c>
      <c r="B56" s="165" t="s">
        <v>490</v>
      </c>
      <c r="C56" s="7"/>
      <c r="D56" s="7"/>
      <c r="E56" s="7"/>
      <c r="F56" s="7"/>
      <c r="G56" s="7"/>
      <c r="H56" s="7"/>
      <c r="I56" s="7"/>
      <c r="J56" s="7"/>
      <c r="K56" s="225"/>
      <c r="L56" s="7"/>
      <c r="M56" s="7"/>
      <c r="N56" s="38">
        <f t="shared" ref="N56:S56" si="8">N57</f>
        <v>17996650.299999997</v>
      </c>
      <c r="O56" s="38">
        <f t="shared" si="8"/>
        <v>17846650.299999997</v>
      </c>
      <c r="P56" s="38">
        <f t="shared" si="8"/>
        <v>24252981</v>
      </c>
      <c r="Q56" s="38">
        <f t="shared" si="8"/>
        <v>16981972</v>
      </c>
      <c r="R56" s="38">
        <f t="shared" si="8"/>
        <v>16981972</v>
      </c>
      <c r="S56" s="38">
        <f t="shared" si="8"/>
        <v>16981972</v>
      </c>
    </row>
    <row r="57" spans="1:19" ht="45" x14ac:dyDescent="0.25">
      <c r="A57" s="309" t="s">
        <v>481</v>
      </c>
      <c r="B57" s="279" t="s">
        <v>566</v>
      </c>
      <c r="C57" s="311">
        <v>902</v>
      </c>
      <c r="D57" s="286" t="s">
        <v>34</v>
      </c>
      <c r="E57" s="279" t="s">
        <v>20</v>
      </c>
      <c r="F57" s="279" t="s">
        <v>340</v>
      </c>
      <c r="G57" s="276" t="s">
        <v>21</v>
      </c>
      <c r="H57" s="279" t="s">
        <v>24</v>
      </c>
      <c r="I57" s="315" t="s">
        <v>48</v>
      </c>
      <c r="J57" s="276" t="s">
        <v>26</v>
      </c>
      <c r="K57" s="55" t="s">
        <v>29</v>
      </c>
      <c r="L57" s="4"/>
      <c r="M57" s="9" t="s">
        <v>30</v>
      </c>
      <c r="N57" s="317">
        <f>12684812.7+5311837.6</f>
        <v>17996650.299999997</v>
      </c>
      <c r="O57" s="317">
        <f>12684812.7+5161837.6</f>
        <v>17846650.299999997</v>
      </c>
      <c r="P57" s="317">
        <f>15331733.4+45570+6375677.6+2500000</f>
        <v>24252981</v>
      </c>
      <c r="Q57" s="344">
        <f>12929087+4052885</f>
        <v>16981972</v>
      </c>
      <c r="R57" s="317">
        <f>4052885+12929087</f>
        <v>16981972</v>
      </c>
      <c r="S57" s="317">
        <v>16981972</v>
      </c>
    </row>
    <row r="58" spans="1:19" ht="45" x14ac:dyDescent="0.25">
      <c r="A58" s="310"/>
      <c r="B58" s="297"/>
      <c r="C58" s="312"/>
      <c r="D58" s="287"/>
      <c r="E58" s="280"/>
      <c r="F58" s="280"/>
      <c r="G58" s="277"/>
      <c r="H58" s="280"/>
      <c r="I58" s="316"/>
      <c r="J58" s="277"/>
      <c r="K58" s="55" t="s">
        <v>109</v>
      </c>
      <c r="L58" s="9"/>
      <c r="M58" s="9" t="s">
        <v>110</v>
      </c>
      <c r="N58" s="318"/>
      <c r="O58" s="318"/>
      <c r="P58" s="318"/>
      <c r="Q58" s="345"/>
      <c r="R58" s="318"/>
      <c r="S58" s="318"/>
    </row>
    <row r="59" spans="1:19" ht="285" x14ac:dyDescent="0.25">
      <c r="A59" s="310"/>
      <c r="B59" s="297"/>
      <c r="C59" s="312"/>
      <c r="D59" s="287"/>
      <c r="E59" s="8" t="s">
        <v>22</v>
      </c>
      <c r="F59" s="6" t="s">
        <v>48</v>
      </c>
      <c r="G59" s="8" t="s">
        <v>23</v>
      </c>
      <c r="H59" s="9" t="s">
        <v>27</v>
      </c>
      <c r="I59" s="10" t="s">
        <v>48</v>
      </c>
      <c r="J59" s="9" t="s">
        <v>28</v>
      </c>
      <c r="K59" s="55" t="s">
        <v>107</v>
      </c>
      <c r="L59" s="9"/>
      <c r="M59" s="9" t="s">
        <v>108</v>
      </c>
      <c r="N59" s="318"/>
      <c r="O59" s="318"/>
      <c r="P59" s="343"/>
      <c r="Q59" s="346"/>
      <c r="R59" s="318"/>
      <c r="S59" s="318"/>
    </row>
    <row r="60" spans="1:19" s="20" customFormat="1" ht="42.75" x14ac:dyDescent="0.2">
      <c r="A60" s="14">
        <v>3200</v>
      </c>
      <c r="B60" s="15" t="s">
        <v>571</v>
      </c>
      <c r="C60" s="14"/>
      <c r="D60" s="23"/>
      <c r="E60" s="15"/>
      <c r="F60" s="15"/>
      <c r="G60" s="15"/>
      <c r="H60" s="15"/>
      <c r="I60" s="15"/>
      <c r="J60" s="15"/>
      <c r="K60" s="226"/>
      <c r="L60" s="15"/>
      <c r="M60" s="15"/>
      <c r="N60" s="185">
        <f t="shared" ref="N60:S60" si="9">N61</f>
        <v>37691263.039999999</v>
      </c>
      <c r="O60" s="185">
        <f t="shared" si="9"/>
        <v>25943400</v>
      </c>
      <c r="P60" s="185">
        <f>P61</f>
        <v>45790721.369999997</v>
      </c>
      <c r="Q60" s="185">
        <f t="shared" si="9"/>
        <v>118306500</v>
      </c>
      <c r="R60" s="185">
        <f t="shared" si="9"/>
        <v>55867000</v>
      </c>
      <c r="S60" s="185">
        <f t="shared" si="9"/>
        <v>34506100</v>
      </c>
    </row>
    <row r="61" spans="1:19" ht="255" x14ac:dyDescent="0.25">
      <c r="A61" s="276">
        <v>3237</v>
      </c>
      <c r="B61" s="279" t="s">
        <v>367</v>
      </c>
      <c r="C61" s="276">
        <v>902</v>
      </c>
      <c r="D61" s="286" t="s">
        <v>123</v>
      </c>
      <c r="E61" s="279" t="s">
        <v>61</v>
      </c>
      <c r="F61" s="279" t="s">
        <v>124</v>
      </c>
      <c r="G61" s="279" t="s">
        <v>63</v>
      </c>
      <c r="H61" s="9" t="s">
        <v>125</v>
      </c>
      <c r="I61" s="9" t="s">
        <v>48</v>
      </c>
      <c r="J61" s="9" t="s">
        <v>126</v>
      </c>
      <c r="K61" s="55" t="s">
        <v>361</v>
      </c>
      <c r="L61" s="9"/>
      <c r="M61" s="9" t="s">
        <v>545</v>
      </c>
      <c r="N61" s="273">
        <v>37691263.039999999</v>
      </c>
      <c r="O61" s="273">
        <v>25943400</v>
      </c>
      <c r="P61" s="273">
        <f>43485121.37+2305600</f>
        <v>45790721.369999997</v>
      </c>
      <c r="Q61" s="273">
        <v>118306500</v>
      </c>
      <c r="R61" s="273">
        <v>55867000</v>
      </c>
      <c r="S61" s="273">
        <v>34506100</v>
      </c>
    </row>
    <row r="62" spans="1:19" ht="240" x14ac:dyDescent="0.25">
      <c r="A62" s="277"/>
      <c r="B62" s="280"/>
      <c r="C62" s="277"/>
      <c r="D62" s="288"/>
      <c r="E62" s="280"/>
      <c r="F62" s="280"/>
      <c r="G62" s="280"/>
      <c r="H62" s="9" t="s">
        <v>127</v>
      </c>
      <c r="I62" s="9" t="s">
        <v>128</v>
      </c>
      <c r="J62" s="9" t="s">
        <v>129</v>
      </c>
      <c r="K62" s="55" t="s">
        <v>539</v>
      </c>
      <c r="L62" s="9"/>
      <c r="M62" s="9" t="s">
        <v>541</v>
      </c>
      <c r="N62" s="274"/>
      <c r="O62" s="274"/>
      <c r="P62" s="274"/>
      <c r="Q62" s="274"/>
      <c r="R62" s="274"/>
      <c r="S62" s="274"/>
    </row>
    <row r="63" spans="1:19" s="20" customFormat="1" ht="28.5" x14ac:dyDescent="0.2">
      <c r="A63" s="30"/>
      <c r="B63" s="29" t="s">
        <v>130</v>
      </c>
      <c r="C63" s="30">
        <v>903</v>
      </c>
      <c r="D63" s="31"/>
      <c r="E63" s="29"/>
      <c r="F63" s="29"/>
      <c r="G63" s="29"/>
      <c r="H63" s="29"/>
      <c r="I63" s="29"/>
      <c r="J63" s="29"/>
      <c r="K63" s="227"/>
      <c r="L63" s="29"/>
      <c r="M63" s="29"/>
      <c r="N63" s="191">
        <f t="shared" ref="N63:S63" si="10">N64+N66</f>
        <v>17863953.370000001</v>
      </c>
      <c r="O63" s="191">
        <f t="shared" si="10"/>
        <v>17862892.23</v>
      </c>
      <c r="P63" s="191">
        <f t="shared" si="10"/>
        <v>19873907</v>
      </c>
      <c r="Q63" s="191">
        <f t="shared" si="10"/>
        <v>20115493</v>
      </c>
      <c r="R63" s="191">
        <f t="shared" si="10"/>
        <v>19806493</v>
      </c>
      <c r="S63" s="191">
        <f t="shared" si="10"/>
        <v>19806493</v>
      </c>
    </row>
    <row r="64" spans="1:19" s="20" customFormat="1" ht="57" x14ac:dyDescent="0.2">
      <c r="A64" s="81">
        <v>2500</v>
      </c>
      <c r="B64" s="85" t="s">
        <v>489</v>
      </c>
      <c r="C64" s="14"/>
      <c r="D64" s="23"/>
      <c r="E64" s="15"/>
      <c r="F64" s="15"/>
      <c r="G64" s="15"/>
      <c r="H64" s="15"/>
      <c r="I64" s="15"/>
      <c r="J64" s="15"/>
      <c r="K64" s="226"/>
      <c r="L64" s="15"/>
      <c r="M64" s="15"/>
      <c r="N64" s="185">
        <f t="shared" ref="N64:S64" si="11">N65</f>
        <v>92713.01</v>
      </c>
      <c r="O64" s="185">
        <f t="shared" si="11"/>
        <v>92713.01</v>
      </c>
      <c r="P64" s="185">
        <f t="shared" si="11"/>
        <v>0</v>
      </c>
      <c r="Q64" s="185">
        <f t="shared" si="11"/>
        <v>0</v>
      </c>
      <c r="R64" s="185">
        <f t="shared" si="11"/>
        <v>0</v>
      </c>
      <c r="S64" s="185">
        <f t="shared" si="11"/>
        <v>0</v>
      </c>
    </row>
    <row r="65" spans="1:19" ht="135" x14ac:dyDescent="0.25">
      <c r="A65" s="11">
        <v>2508</v>
      </c>
      <c r="B65" s="9" t="s">
        <v>38</v>
      </c>
      <c r="C65" s="11">
        <v>903</v>
      </c>
      <c r="D65" s="18" t="s">
        <v>112</v>
      </c>
      <c r="E65" s="9" t="s">
        <v>20</v>
      </c>
      <c r="F65" s="9" t="s">
        <v>113</v>
      </c>
      <c r="G65" s="9" t="s">
        <v>91</v>
      </c>
      <c r="H65" s="9"/>
      <c r="I65" s="9"/>
      <c r="J65" s="9"/>
      <c r="K65" s="55" t="s">
        <v>29</v>
      </c>
      <c r="L65" s="9" t="s">
        <v>114</v>
      </c>
      <c r="M65" s="9" t="s">
        <v>30</v>
      </c>
      <c r="N65" s="186">
        <v>92713.01</v>
      </c>
      <c r="O65" s="186">
        <v>92713.01</v>
      </c>
      <c r="P65" s="186">
        <v>0</v>
      </c>
      <c r="Q65" s="186">
        <v>0</v>
      </c>
      <c r="R65" s="186">
        <v>0</v>
      </c>
      <c r="S65" s="186">
        <v>0</v>
      </c>
    </row>
    <row r="66" spans="1:19" s="20" customFormat="1" ht="114" x14ac:dyDescent="0.2">
      <c r="A66" s="14">
        <v>2600</v>
      </c>
      <c r="B66" s="165" t="s">
        <v>490</v>
      </c>
      <c r="C66" s="86"/>
      <c r="D66" s="87"/>
      <c r="E66" s="88"/>
      <c r="F66" s="88"/>
      <c r="G66" s="88"/>
      <c r="H66" s="89"/>
      <c r="I66" s="88"/>
      <c r="J66" s="88"/>
      <c r="K66" s="226"/>
      <c r="L66" s="15"/>
      <c r="M66" s="15"/>
      <c r="N66" s="192">
        <f t="shared" ref="N66:S66" si="12">N67+N70+N72</f>
        <v>17771240.359999999</v>
      </c>
      <c r="O66" s="192">
        <f t="shared" si="12"/>
        <v>17770179.219999999</v>
      </c>
      <c r="P66" s="192">
        <f t="shared" si="12"/>
        <v>19873907</v>
      </c>
      <c r="Q66" s="192">
        <f t="shared" si="12"/>
        <v>20115493</v>
      </c>
      <c r="R66" s="192">
        <f t="shared" si="12"/>
        <v>19806493</v>
      </c>
      <c r="S66" s="192">
        <f t="shared" si="12"/>
        <v>19806493</v>
      </c>
    </row>
    <row r="67" spans="1:19" ht="45" x14ac:dyDescent="0.25">
      <c r="A67" s="309" t="s">
        <v>480</v>
      </c>
      <c r="B67" s="279" t="s">
        <v>576</v>
      </c>
      <c r="C67" s="311">
        <v>903</v>
      </c>
      <c r="D67" s="286" t="s">
        <v>132</v>
      </c>
      <c r="E67" s="279" t="s">
        <v>20</v>
      </c>
      <c r="F67" s="279" t="s">
        <v>340</v>
      </c>
      <c r="G67" s="276" t="s">
        <v>21</v>
      </c>
      <c r="H67" s="279" t="s">
        <v>24</v>
      </c>
      <c r="I67" s="315" t="s">
        <v>48</v>
      </c>
      <c r="J67" s="276" t="s">
        <v>26</v>
      </c>
      <c r="K67" s="55" t="s">
        <v>29</v>
      </c>
      <c r="L67" s="4"/>
      <c r="M67" s="9" t="s">
        <v>30</v>
      </c>
      <c r="N67" s="273">
        <v>15499059.609999999</v>
      </c>
      <c r="O67" s="273">
        <v>15499008.93</v>
      </c>
      <c r="P67" s="273">
        <f>17416989+85932+27500</f>
        <v>17530421</v>
      </c>
      <c r="Q67" s="273">
        <v>17581593</v>
      </c>
      <c r="R67" s="273">
        <v>17284493</v>
      </c>
      <c r="S67" s="273">
        <v>17284493</v>
      </c>
    </row>
    <row r="68" spans="1:19" ht="60" x14ac:dyDescent="0.25">
      <c r="A68" s="310"/>
      <c r="B68" s="297"/>
      <c r="C68" s="312"/>
      <c r="D68" s="287"/>
      <c r="E68" s="280"/>
      <c r="F68" s="280"/>
      <c r="G68" s="277"/>
      <c r="H68" s="280"/>
      <c r="I68" s="316"/>
      <c r="J68" s="277"/>
      <c r="K68" s="55" t="s">
        <v>387</v>
      </c>
      <c r="L68" s="9"/>
      <c r="M68" s="9" t="s">
        <v>134</v>
      </c>
      <c r="N68" s="275"/>
      <c r="O68" s="275"/>
      <c r="P68" s="275"/>
      <c r="Q68" s="275"/>
      <c r="R68" s="275"/>
      <c r="S68" s="275"/>
    </row>
    <row r="69" spans="1:19" ht="285" x14ac:dyDescent="0.25">
      <c r="A69" s="310"/>
      <c r="B69" s="297"/>
      <c r="C69" s="312"/>
      <c r="D69" s="287"/>
      <c r="E69" s="100" t="s">
        <v>22</v>
      </c>
      <c r="F69" s="101" t="s">
        <v>48</v>
      </c>
      <c r="G69" s="100" t="s">
        <v>23</v>
      </c>
      <c r="H69" s="132" t="s">
        <v>27</v>
      </c>
      <c r="I69" s="135" t="s">
        <v>48</v>
      </c>
      <c r="J69" s="132" t="s">
        <v>28</v>
      </c>
      <c r="K69" s="55" t="s">
        <v>137</v>
      </c>
      <c r="L69" s="9"/>
      <c r="M69" s="9" t="s">
        <v>138</v>
      </c>
      <c r="N69" s="275"/>
      <c r="O69" s="275"/>
      <c r="P69" s="275"/>
      <c r="Q69" s="275"/>
      <c r="R69" s="275"/>
      <c r="S69" s="275"/>
    </row>
    <row r="70" spans="1:19" ht="60" x14ac:dyDescent="0.25">
      <c r="A70" s="248">
        <v>2604</v>
      </c>
      <c r="B70" s="242" t="s">
        <v>577</v>
      </c>
      <c r="C70" s="308">
        <v>903</v>
      </c>
      <c r="D70" s="286" t="s">
        <v>378</v>
      </c>
      <c r="E70" s="279" t="s">
        <v>20</v>
      </c>
      <c r="F70" s="279" t="s">
        <v>133</v>
      </c>
      <c r="G70" s="279" t="s">
        <v>91</v>
      </c>
      <c r="H70" s="276"/>
      <c r="I70" s="311"/>
      <c r="J70" s="276"/>
      <c r="K70" s="55" t="s">
        <v>29</v>
      </c>
      <c r="L70" s="55" t="s">
        <v>343</v>
      </c>
      <c r="M70" s="55" t="s">
        <v>30</v>
      </c>
      <c r="N70" s="273">
        <v>0</v>
      </c>
      <c r="O70" s="273">
        <v>0</v>
      </c>
      <c r="P70" s="273">
        <v>0</v>
      </c>
      <c r="Q70" s="273">
        <v>11900</v>
      </c>
      <c r="R70" s="273">
        <v>0</v>
      </c>
      <c r="S70" s="273">
        <v>0</v>
      </c>
    </row>
    <row r="71" spans="1:19" ht="75" x14ac:dyDescent="0.25">
      <c r="A71" s="106"/>
      <c r="B71" s="108"/>
      <c r="C71" s="277"/>
      <c r="D71" s="288"/>
      <c r="E71" s="280"/>
      <c r="F71" s="280"/>
      <c r="G71" s="280"/>
      <c r="H71" s="277"/>
      <c r="I71" s="314"/>
      <c r="J71" s="277"/>
      <c r="K71" s="55" t="s">
        <v>420</v>
      </c>
      <c r="L71" s="55"/>
      <c r="M71" s="55" t="s">
        <v>421</v>
      </c>
      <c r="N71" s="274"/>
      <c r="O71" s="274"/>
      <c r="P71" s="274"/>
      <c r="Q71" s="274"/>
      <c r="R71" s="274"/>
      <c r="S71" s="274"/>
    </row>
    <row r="72" spans="1:19" ht="120" x14ac:dyDescent="0.25">
      <c r="A72" s="71">
        <v>2623</v>
      </c>
      <c r="B72" s="93" t="s">
        <v>578</v>
      </c>
      <c r="C72" s="109">
        <v>903</v>
      </c>
      <c r="D72" s="107" t="s">
        <v>346</v>
      </c>
      <c r="E72" s="108" t="s">
        <v>20</v>
      </c>
      <c r="F72" s="108" t="s">
        <v>347</v>
      </c>
      <c r="G72" s="108" t="s">
        <v>91</v>
      </c>
      <c r="H72" s="108" t="s">
        <v>24</v>
      </c>
      <c r="I72" s="108" t="s">
        <v>302</v>
      </c>
      <c r="J72" s="108" t="s">
        <v>26</v>
      </c>
      <c r="K72" s="55" t="s">
        <v>348</v>
      </c>
      <c r="L72" s="55"/>
      <c r="M72" s="55" t="s">
        <v>422</v>
      </c>
      <c r="N72" s="273">
        <v>2272180.75</v>
      </c>
      <c r="O72" s="273">
        <v>2271170.29</v>
      </c>
      <c r="P72" s="273">
        <v>2343486</v>
      </c>
      <c r="Q72" s="273">
        <v>2522000</v>
      </c>
      <c r="R72" s="273">
        <v>2522000</v>
      </c>
      <c r="S72" s="273">
        <v>2522000</v>
      </c>
    </row>
    <row r="73" spans="1:19" ht="120" x14ac:dyDescent="0.25">
      <c r="A73" s="106"/>
      <c r="B73" s="108"/>
      <c r="C73" s="106"/>
      <c r="D73" s="107"/>
      <c r="E73" s="108"/>
      <c r="F73" s="108"/>
      <c r="G73" s="108"/>
      <c r="H73" s="91"/>
      <c r="I73" s="110"/>
      <c r="J73" s="108"/>
      <c r="K73" s="55" t="s">
        <v>423</v>
      </c>
      <c r="L73" s="55"/>
      <c r="M73" s="55" t="s">
        <v>546</v>
      </c>
      <c r="N73" s="274"/>
      <c r="O73" s="274"/>
      <c r="P73" s="274"/>
      <c r="Q73" s="274"/>
      <c r="R73" s="274"/>
      <c r="S73" s="274"/>
    </row>
    <row r="74" spans="1:19" s="20" customFormat="1" ht="57" x14ac:dyDescent="0.2">
      <c r="A74" s="30"/>
      <c r="B74" s="29" t="s">
        <v>139</v>
      </c>
      <c r="C74" s="30">
        <v>904</v>
      </c>
      <c r="D74" s="31"/>
      <c r="E74" s="29"/>
      <c r="F74" s="29"/>
      <c r="G74" s="29"/>
      <c r="H74" s="29"/>
      <c r="I74" s="29"/>
      <c r="J74" s="29"/>
      <c r="K74" s="227"/>
      <c r="L74" s="29"/>
      <c r="M74" s="29"/>
      <c r="N74" s="191">
        <f t="shared" ref="N74:S74" si="13">N75</f>
        <v>37201758</v>
      </c>
      <c r="O74" s="191">
        <f t="shared" si="13"/>
        <v>37160447.420000002</v>
      </c>
      <c r="P74" s="191">
        <f t="shared" si="13"/>
        <v>43396659</v>
      </c>
      <c r="Q74" s="191">
        <f t="shared" si="13"/>
        <v>35070663</v>
      </c>
      <c r="R74" s="191">
        <f t="shared" si="13"/>
        <v>34841308</v>
      </c>
      <c r="S74" s="191">
        <f t="shared" si="13"/>
        <v>34841308</v>
      </c>
    </row>
    <row r="75" spans="1:19" s="20" customFormat="1" ht="57" x14ac:dyDescent="0.2">
      <c r="A75" s="81">
        <v>2500</v>
      </c>
      <c r="B75" s="85" t="s">
        <v>489</v>
      </c>
      <c r="C75" s="14">
        <v>904</v>
      </c>
      <c r="D75" s="23"/>
      <c r="E75" s="15"/>
      <c r="F75" s="15"/>
      <c r="G75" s="15"/>
      <c r="H75" s="15"/>
      <c r="I75" s="15"/>
      <c r="J75" s="15"/>
      <c r="K75" s="226"/>
      <c r="L75" s="15"/>
      <c r="M75" s="15"/>
      <c r="N75" s="185">
        <f t="shared" ref="N75:S75" si="14">N76+N80</f>
        <v>37201758</v>
      </c>
      <c r="O75" s="185">
        <f t="shared" si="14"/>
        <v>37160447.420000002</v>
      </c>
      <c r="P75" s="185">
        <f t="shared" si="14"/>
        <v>43396659</v>
      </c>
      <c r="Q75" s="185">
        <f t="shared" si="14"/>
        <v>35070663</v>
      </c>
      <c r="R75" s="185">
        <f t="shared" si="14"/>
        <v>34841308</v>
      </c>
      <c r="S75" s="185">
        <f t="shared" si="14"/>
        <v>34841308</v>
      </c>
    </row>
    <row r="76" spans="1:19" ht="120" x14ac:dyDescent="0.25">
      <c r="A76" s="276">
        <v>2517</v>
      </c>
      <c r="B76" s="279" t="s">
        <v>140</v>
      </c>
      <c r="C76" s="276">
        <v>904</v>
      </c>
      <c r="D76" s="286" t="s">
        <v>142</v>
      </c>
      <c r="E76" s="9" t="s">
        <v>141</v>
      </c>
      <c r="F76" s="9" t="s">
        <v>143</v>
      </c>
      <c r="G76" s="9" t="s">
        <v>144</v>
      </c>
      <c r="H76" s="9" t="s">
        <v>145</v>
      </c>
      <c r="I76" s="9" t="s">
        <v>46</v>
      </c>
      <c r="J76" s="9" t="s">
        <v>146</v>
      </c>
      <c r="K76" s="55" t="s">
        <v>150</v>
      </c>
      <c r="L76" s="9"/>
      <c r="M76" s="9" t="s">
        <v>151</v>
      </c>
      <c r="N76" s="273">
        <f>37201758-N80</f>
        <v>36863788.560000002</v>
      </c>
      <c r="O76" s="273">
        <f>37160447.42-O80</f>
        <v>36822477.980000004</v>
      </c>
      <c r="P76" s="273">
        <f>43396659-P80</f>
        <v>42667854.25</v>
      </c>
      <c r="Q76" s="273">
        <f>35070663-Q80</f>
        <v>34440663</v>
      </c>
      <c r="R76" s="273">
        <f>34841308-R80</f>
        <v>34211308</v>
      </c>
      <c r="S76" s="273">
        <f>R76</f>
        <v>34211308</v>
      </c>
    </row>
    <row r="77" spans="1:19" ht="285" x14ac:dyDescent="0.25">
      <c r="A77" s="298"/>
      <c r="B77" s="297"/>
      <c r="C77" s="298"/>
      <c r="D77" s="287"/>
      <c r="E77" s="9"/>
      <c r="F77" s="9"/>
      <c r="G77" s="9"/>
      <c r="H77" s="9" t="s">
        <v>147</v>
      </c>
      <c r="I77" s="9" t="s">
        <v>148</v>
      </c>
      <c r="J77" s="9" t="s">
        <v>149</v>
      </c>
      <c r="K77" s="55" t="s">
        <v>152</v>
      </c>
      <c r="L77" s="9"/>
      <c r="M77" s="16" t="s">
        <v>531</v>
      </c>
      <c r="N77" s="275"/>
      <c r="O77" s="275"/>
      <c r="P77" s="275"/>
      <c r="Q77" s="275"/>
      <c r="R77" s="275"/>
      <c r="S77" s="275"/>
    </row>
    <row r="78" spans="1:19" ht="135" x14ac:dyDescent="0.25">
      <c r="A78" s="298"/>
      <c r="B78" s="297"/>
      <c r="C78" s="298"/>
      <c r="D78" s="287"/>
      <c r="E78" s="9"/>
      <c r="F78" s="9"/>
      <c r="G78" s="9"/>
      <c r="H78" s="9"/>
      <c r="I78" s="9"/>
      <c r="J78" s="9"/>
      <c r="K78" s="55" t="s">
        <v>532</v>
      </c>
      <c r="L78" s="9"/>
      <c r="M78" s="16" t="s">
        <v>533</v>
      </c>
      <c r="N78" s="275"/>
      <c r="O78" s="275"/>
      <c r="P78" s="275"/>
      <c r="Q78" s="275"/>
      <c r="R78" s="275"/>
      <c r="S78" s="275"/>
    </row>
    <row r="79" spans="1:19" ht="105" x14ac:dyDescent="0.25">
      <c r="A79" s="298"/>
      <c r="B79" s="297"/>
      <c r="C79" s="298"/>
      <c r="D79" s="287"/>
      <c r="E79" s="9"/>
      <c r="F79" s="9"/>
      <c r="G79" s="9"/>
      <c r="H79" s="9"/>
      <c r="I79" s="9"/>
      <c r="J79" s="9"/>
      <c r="K79" s="55" t="s">
        <v>153</v>
      </c>
      <c r="L79" s="9"/>
      <c r="M79" s="16">
        <v>41241</v>
      </c>
      <c r="N79" s="275"/>
      <c r="O79" s="275"/>
      <c r="P79" s="274"/>
      <c r="Q79" s="274"/>
      <c r="R79" s="275"/>
      <c r="S79" s="275"/>
    </row>
    <row r="80" spans="1:19" ht="45" x14ac:dyDescent="0.25">
      <c r="A80" s="276">
        <v>2520</v>
      </c>
      <c r="B80" s="279" t="s">
        <v>154</v>
      </c>
      <c r="C80" s="276">
        <v>904</v>
      </c>
      <c r="D80" s="286" t="s">
        <v>142</v>
      </c>
      <c r="E80" s="9" t="s">
        <v>155</v>
      </c>
      <c r="F80" s="9" t="s">
        <v>158</v>
      </c>
      <c r="G80" s="9" t="s">
        <v>156</v>
      </c>
      <c r="H80" s="276"/>
      <c r="I80" s="276"/>
      <c r="J80" s="276"/>
      <c r="K80" s="55" t="s">
        <v>29</v>
      </c>
      <c r="L80" s="9" t="s">
        <v>159</v>
      </c>
      <c r="M80" s="9" t="s">
        <v>30</v>
      </c>
      <c r="N80" s="273">
        <v>337969.44</v>
      </c>
      <c r="O80" s="273">
        <v>337969.44</v>
      </c>
      <c r="P80" s="273">
        <v>728804.75</v>
      </c>
      <c r="Q80" s="273">
        <v>630000</v>
      </c>
      <c r="R80" s="273">
        <v>630000</v>
      </c>
      <c r="S80" s="273">
        <v>630000</v>
      </c>
    </row>
    <row r="81" spans="1:19" ht="120" x14ac:dyDescent="0.25">
      <c r="A81" s="298"/>
      <c r="B81" s="297"/>
      <c r="C81" s="298"/>
      <c r="D81" s="287"/>
      <c r="E81" s="9" t="s">
        <v>20</v>
      </c>
      <c r="F81" s="9" t="s">
        <v>157</v>
      </c>
      <c r="G81" s="9" t="s">
        <v>91</v>
      </c>
      <c r="H81" s="298"/>
      <c r="I81" s="298"/>
      <c r="J81" s="298"/>
      <c r="K81" s="55" t="s">
        <v>471</v>
      </c>
      <c r="L81" s="9"/>
      <c r="M81" s="24" t="s">
        <v>472</v>
      </c>
      <c r="N81" s="275"/>
      <c r="O81" s="275"/>
      <c r="P81" s="275"/>
      <c r="Q81" s="275"/>
      <c r="R81" s="275"/>
      <c r="S81" s="275"/>
    </row>
    <row r="82" spans="1:19" ht="90" x14ac:dyDescent="0.25">
      <c r="A82" s="95"/>
      <c r="B82" s="96"/>
      <c r="C82" s="95"/>
      <c r="D82" s="97"/>
      <c r="E82" s="9"/>
      <c r="F82" s="9"/>
      <c r="G82" s="9"/>
      <c r="H82" s="95"/>
      <c r="I82" s="95"/>
      <c r="J82" s="95"/>
      <c r="K82" s="55" t="s">
        <v>398</v>
      </c>
      <c r="L82" s="9"/>
      <c r="M82" s="9" t="s">
        <v>399</v>
      </c>
      <c r="N82" s="183"/>
      <c r="O82" s="183"/>
      <c r="P82" s="183"/>
      <c r="Q82" s="183"/>
      <c r="R82" s="183"/>
      <c r="S82" s="183"/>
    </row>
    <row r="83" spans="1:19" s="20" customFormat="1" ht="28.5" x14ac:dyDescent="0.2">
      <c r="A83" s="30"/>
      <c r="B83" s="29" t="s">
        <v>160</v>
      </c>
      <c r="C83" s="30">
        <v>906</v>
      </c>
      <c r="D83" s="31"/>
      <c r="E83" s="29"/>
      <c r="F83" s="29"/>
      <c r="G83" s="29"/>
      <c r="H83" s="29"/>
      <c r="I83" s="29"/>
      <c r="J83" s="29"/>
      <c r="K83" s="227"/>
      <c r="L83" s="29"/>
      <c r="M83" s="29"/>
      <c r="N83" s="191">
        <f t="shared" ref="N83:S83" si="15">N84+N105+N101+N114</f>
        <v>1638265838.1700001</v>
      </c>
      <c r="O83" s="191">
        <f t="shared" si="15"/>
        <v>1627299318.8099999</v>
      </c>
      <c r="P83" s="191">
        <f t="shared" si="15"/>
        <v>1842773050.3499999</v>
      </c>
      <c r="Q83" s="191">
        <f t="shared" si="15"/>
        <v>1662670018</v>
      </c>
      <c r="R83" s="191">
        <f t="shared" si="15"/>
        <v>1698948172.6700001</v>
      </c>
      <c r="S83" s="191">
        <f t="shared" si="15"/>
        <v>1540370806</v>
      </c>
    </row>
    <row r="84" spans="1:19" s="20" customFormat="1" ht="57" x14ac:dyDescent="0.2">
      <c r="A84" s="82">
        <v>2500</v>
      </c>
      <c r="B84" s="90" t="s">
        <v>489</v>
      </c>
      <c r="C84" s="21"/>
      <c r="D84" s="23"/>
      <c r="E84" s="15"/>
      <c r="F84" s="15"/>
      <c r="G84" s="15"/>
      <c r="H84" s="15"/>
      <c r="I84" s="15"/>
      <c r="J84" s="15"/>
      <c r="K84" s="226"/>
      <c r="L84" s="15"/>
      <c r="M84" s="15"/>
      <c r="N84" s="185">
        <f t="shared" ref="N84:S84" si="16">N85+N99</f>
        <v>562352617.12</v>
      </c>
      <c r="O84" s="185">
        <f t="shared" si="16"/>
        <v>559515056.23000002</v>
      </c>
      <c r="P84" s="185">
        <f t="shared" si="16"/>
        <v>630076617.02999997</v>
      </c>
      <c r="Q84" s="185">
        <f t="shared" si="16"/>
        <v>544870385</v>
      </c>
      <c r="R84" s="185">
        <f t="shared" si="16"/>
        <v>580104539.67000008</v>
      </c>
      <c r="S84" s="185">
        <f t="shared" si="16"/>
        <v>482494073</v>
      </c>
    </row>
    <row r="85" spans="1:19" ht="195" x14ac:dyDescent="0.25">
      <c r="A85" s="298" t="s">
        <v>579</v>
      </c>
      <c r="B85" s="297" t="s">
        <v>161</v>
      </c>
      <c r="C85" s="298">
        <v>906</v>
      </c>
      <c r="D85" s="287" t="s">
        <v>162</v>
      </c>
      <c r="E85" s="76" t="s">
        <v>20</v>
      </c>
      <c r="F85" s="76" t="s">
        <v>163</v>
      </c>
      <c r="G85" s="76" t="s">
        <v>91</v>
      </c>
      <c r="H85" s="76" t="s">
        <v>164</v>
      </c>
      <c r="I85" s="9" t="s">
        <v>119</v>
      </c>
      <c r="J85" s="9" t="s">
        <v>165</v>
      </c>
      <c r="K85" s="55" t="s">
        <v>403</v>
      </c>
      <c r="L85" s="9"/>
      <c r="M85" s="9" t="s">
        <v>404</v>
      </c>
      <c r="N85" s="273">
        <v>512805684.12</v>
      </c>
      <c r="O85" s="273">
        <v>510009720.99000001</v>
      </c>
      <c r="P85" s="273">
        <f>583525867.03-62286700+53434100-2500000</f>
        <v>572173267.02999997</v>
      </c>
      <c r="Q85" s="273">
        <f>501336817-60198800+53434100</f>
        <v>494572117</v>
      </c>
      <c r="R85" s="273">
        <f>535271371.67-61242800+55777700</f>
        <v>529806271.67000002</v>
      </c>
      <c r="S85" s="273">
        <v>432195805</v>
      </c>
    </row>
    <row r="86" spans="1:19" ht="60" x14ac:dyDescent="0.25">
      <c r="A86" s="298"/>
      <c r="B86" s="297"/>
      <c r="C86" s="298"/>
      <c r="D86" s="287"/>
      <c r="E86" s="9"/>
      <c r="F86" s="9"/>
      <c r="G86" s="9"/>
      <c r="H86" s="9" t="s">
        <v>166</v>
      </c>
      <c r="I86" s="9" t="s">
        <v>48</v>
      </c>
      <c r="J86" s="9" t="s">
        <v>167</v>
      </c>
      <c r="K86" s="55" t="s">
        <v>29</v>
      </c>
      <c r="L86" s="9" t="s">
        <v>168</v>
      </c>
      <c r="M86" s="9" t="s">
        <v>30</v>
      </c>
      <c r="N86" s="275"/>
      <c r="O86" s="275"/>
      <c r="P86" s="275"/>
      <c r="Q86" s="275"/>
      <c r="R86" s="275"/>
      <c r="S86" s="275"/>
    </row>
    <row r="87" spans="1:19" ht="90" x14ac:dyDescent="0.25">
      <c r="A87" s="298"/>
      <c r="B87" s="297"/>
      <c r="C87" s="298"/>
      <c r="D87" s="287"/>
      <c r="E87" s="9"/>
      <c r="F87" s="9"/>
      <c r="G87" s="9"/>
      <c r="H87" s="9"/>
      <c r="I87" s="9"/>
      <c r="J87" s="9"/>
      <c r="K87" s="55" t="s">
        <v>171</v>
      </c>
      <c r="L87" s="9"/>
      <c r="M87" s="9" t="s">
        <v>172</v>
      </c>
      <c r="N87" s="275"/>
      <c r="O87" s="275"/>
      <c r="P87" s="275"/>
      <c r="Q87" s="275"/>
      <c r="R87" s="275"/>
      <c r="S87" s="275"/>
    </row>
    <row r="88" spans="1:19" ht="135" x14ac:dyDescent="0.25">
      <c r="A88" s="298"/>
      <c r="B88" s="297"/>
      <c r="C88" s="298"/>
      <c r="D88" s="287"/>
      <c r="E88" s="9"/>
      <c r="F88" s="9"/>
      <c r="G88" s="9"/>
      <c r="H88" s="9"/>
      <c r="I88" s="9"/>
      <c r="J88" s="9"/>
      <c r="K88" s="55" t="s">
        <v>169</v>
      </c>
      <c r="L88" s="9"/>
      <c r="M88" s="9" t="s">
        <v>170</v>
      </c>
      <c r="N88" s="275"/>
      <c r="O88" s="275"/>
      <c r="P88" s="275"/>
      <c r="Q88" s="275"/>
      <c r="R88" s="275"/>
      <c r="S88" s="275"/>
    </row>
    <row r="89" spans="1:19" ht="285" x14ac:dyDescent="0.25">
      <c r="A89" s="298"/>
      <c r="B89" s="297"/>
      <c r="C89" s="298"/>
      <c r="D89" s="287"/>
      <c r="E89" s="9"/>
      <c r="F89" s="9"/>
      <c r="G89" s="9"/>
      <c r="H89" s="9"/>
      <c r="I89" s="9"/>
      <c r="J89" s="9"/>
      <c r="K89" s="55" t="s">
        <v>350</v>
      </c>
      <c r="L89" s="9"/>
      <c r="M89" s="9" t="s">
        <v>351</v>
      </c>
      <c r="N89" s="275"/>
      <c r="O89" s="275"/>
      <c r="P89" s="275"/>
      <c r="Q89" s="275"/>
      <c r="R89" s="275"/>
      <c r="S89" s="275"/>
    </row>
    <row r="90" spans="1:19" ht="90" x14ac:dyDescent="0.25">
      <c r="A90" s="116"/>
      <c r="B90" s="114"/>
      <c r="C90" s="116"/>
      <c r="D90" s="115"/>
      <c r="E90" s="9"/>
      <c r="F90" s="9"/>
      <c r="G90" s="9"/>
      <c r="H90" s="9"/>
      <c r="I90" s="9"/>
      <c r="J90" s="9"/>
      <c r="K90" s="127" t="s">
        <v>433</v>
      </c>
      <c r="L90" s="24"/>
      <c r="M90" s="24" t="s">
        <v>435</v>
      </c>
      <c r="N90" s="181"/>
      <c r="O90" s="181"/>
      <c r="P90" s="181"/>
      <c r="Q90" s="181"/>
      <c r="R90" s="181"/>
      <c r="S90" s="181"/>
    </row>
    <row r="91" spans="1:19" ht="165" x14ac:dyDescent="0.25">
      <c r="A91" s="140"/>
      <c r="B91" s="138"/>
      <c r="C91" s="140"/>
      <c r="D91" s="139"/>
      <c r="E91" s="9"/>
      <c r="F91" s="9"/>
      <c r="G91" s="9"/>
      <c r="H91" s="9"/>
      <c r="I91" s="9"/>
      <c r="J91" s="9"/>
      <c r="K91" s="127" t="s">
        <v>451</v>
      </c>
      <c r="L91" s="24"/>
      <c r="M91" s="24" t="s">
        <v>452</v>
      </c>
      <c r="N91" s="181"/>
      <c r="O91" s="181"/>
      <c r="P91" s="181"/>
      <c r="Q91" s="181"/>
      <c r="R91" s="181"/>
      <c r="S91" s="181"/>
    </row>
    <row r="92" spans="1:19" ht="135" x14ac:dyDescent="0.25">
      <c r="A92" s="120"/>
      <c r="B92" s="122"/>
      <c r="C92" s="120"/>
      <c r="D92" s="121"/>
      <c r="E92" s="9"/>
      <c r="F92" s="9"/>
      <c r="G92" s="9"/>
      <c r="H92" s="9"/>
      <c r="I92" s="9"/>
      <c r="J92" s="9"/>
      <c r="K92" s="127" t="s">
        <v>436</v>
      </c>
      <c r="L92" s="24"/>
      <c r="M92" s="24" t="s">
        <v>437</v>
      </c>
      <c r="N92" s="181"/>
      <c r="O92" s="181"/>
      <c r="P92" s="181"/>
      <c r="Q92" s="181"/>
      <c r="R92" s="181"/>
      <c r="S92" s="181"/>
    </row>
    <row r="93" spans="1:19" ht="240" x14ac:dyDescent="0.25">
      <c r="A93" s="123"/>
      <c r="B93" s="125"/>
      <c r="C93" s="123"/>
      <c r="D93" s="124"/>
      <c r="E93" s="9"/>
      <c r="F93" s="9"/>
      <c r="G93" s="9"/>
      <c r="H93" s="9"/>
      <c r="I93" s="9"/>
      <c r="J93" s="9"/>
      <c r="K93" s="127" t="s">
        <v>438</v>
      </c>
      <c r="L93" s="127"/>
      <c r="M93" s="127" t="s">
        <v>441</v>
      </c>
      <c r="N93" s="181"/>
      <c r="O93" s="181"/>
      <c r="P93" s="181"/>
      <c r="Q93" s="181"/>
      <c r="R93" s="181"/>
      <c r="S93" s="181"/>
    </row>
    <row r="94" spans="1:19" ht="120" x14ac:dyDescent="0.25">
      <c r="A94" s="256"/>
      <c r="B94" s="265"/>
      <c r="C94" s="123"/>
      <c r="D94" s="124"/>
      <c r="E94" s="9"/>
      <c r="F94" s="9"/>
      <c r="G94" s="9"/>
      <c r="H94" s="9"/>
      <c r="I94" s="9"/>
      <c r="J94" s="9"/>
      <c r="K94" s="127" t="s">
        <v>439</v>
      </c>
      <c r="L94" s="126"/>
      <c r="M94" s="9" t="s">
        <v>440</v>
      </c>
      <c r="N94" s="181"/>
      <c r="O94" s="181"/>
      <c r="P94" s="181"/>
      <c r="Q94" s="181"/>
      <c r="R94" s="181"/>
      <c r="S94" s="181"/>
    </row>
    <row r="95" spans="1:19" ht="150" x14ac:dyDescent="0.25">
      <c r="A95" s="256"/>
      <c r="B95" s="257"/>
      <c r="C95" s="238"/>
      <c r="D95" s="99"/>
      <c r="E95" s="9"/>
      <c r="F95" s="9"/>
      <c r="G95" s="9"/>
      <c r="H95" s="9"/>
      <c r="I95" s="9"/>
      <c r="J95" s="9"/>
      <c r="K95" s="55" t="s">
        <v>408</v>
      </c>
      <c r="L95" s="9"/>
      <c r="M95" s="9" t="s">
        <v>409</v>
      </c>
      <c r="N95" s="183"/>
      <c r="O95" s="183"/>
      <c r="P95" s="183"/>
      <c r="Q95" s="183"/>
      <c r="R95" s="183"/>
      <c r="S95" s="183"/>
    </row>
    <row r="96" spans="1:19" ht="360" x14ac:dyDescent="0.25">
      <c r="A96" s="298"/>
      <c r="B96" s="257"/>
      <c r="C96" s="238"/>
      <c r="D96" s="142"/>
      <c r="E96" s="9"/>
      <c r="F96" s="9"/>
      <c r="G96" s="9"/>
      <c r="H96" s="9"/>
      <c r="I96" s="9"/>
      <c r="J96" s="9"/>
      <c r="K96" s="55" t="s">
        <v>453</v>
      </c>
      <c r="L96" s="9"/>
      <c r="M96" s="9" t="s">
        <v>454</v>
      </c>
      <c r="N96" s="183"/>
      <c r="O96" s="183"/>
      <c r="P96" s="183"/>
      <c r="Q96" s="183"/>
      <c r="R96" s="183"/>
      <c r="S96" s="183"/>
    </row>
    <row r="97" spans="1:19" ht="195" x14ac:dyDescent="0.25">
      <c r="A97" s="277"/>
      <c r="B97" s="272"/>
      <c r="C97" s="264"/>
      <c r="D97" s="258"/>
      <c r="E97" s="62"/>
      <c r="F97" s="9"/>
      <c r="G97" s="9"/>
      <c r="H97" s="9"/>
      <c r="I97" s="9"/>
      <c r="J97" s="9"/>
      <c r="K97" s="55" t="s">
        <v>596</v>
      </c>
      <c r="L97" s="9"/>
      <c r="M97" s="9"/>
      <c r="N97" s="255"/>
      <c r="O97" s="255"/>
      <c r="P97" s="255"/>
      <c r="Q97" s="255"/>
      <c r="R97" s="255"/>
      <c r="S97" s="255"/>
    </row>
    <row r="98" spans="1:19" ht="105" x14ac:dyDescent="0.25">
      <c r="A98" s="11"/>
      <c r="B98" s="9"/>
      <c r="C98" s="11"/>
      <c r="D98" s="18"/>
      <c r="E98" s="62"/>
      <c r="F98" s="9"/>
      <c r="G98" s="9"/>
      <c r="H98" s="9"/>
      <c r="I98" s="9"/>
      <c r="J98" s="9"/>
      <c r="K98" s="55" t="s">
        <v>605</v>
      </c>
      <c r="L98" s="9"/>
      <c r="M98" s="9" t="s">
        <v>606</v>
      </c>
      <c r="N98" s="271"/>
      <c r="O98" s="271"/>
      <c r="P98" s="271"/>
      <c r="Q98" s="271"/>
      <c r="R98" s="271"/>
      <c r="S98" s="271"/>
    </row>
    <row r="99" spans="1:19" ht="218.25" customHeight="1" x14ac:dyDescent="0.25">
      <c r="A99" s="259">
        <v>2527</v>
      </c>
      <c r="B99" s="299" t="s">
        <v>488</v>
      </c>
      <c r="C99" s="92">
        <v>906</v>
      </c>
      <c r="D99" s="162" t="s">
        <v>201</v>
      </c>
      <c r="E99" s="62" t="s">
        <v>20</v>
      </c>
      <c r="F99" s="9" t="s">
        <v>341</v>
      </c>
      <c r="G99" s="9" t="s">
        <v>21</v>
      </c>
      <c r="H99" s="9"/>
      <c r="I99" s="9"/>
      <c r="J99" s="9"/>
      <c r="K99" s="55" t="s">
        <v>29</v>
      </c>
      <c r="L99" s="9"/>
      <c r="M99" s="9" t="s">
        <v>30</v>
      </c>
      <c r="N99" s="273">
        <v>49546933</v>
      </c>
      <c r="O99" s="273">
        <v>49505335.240000002</v>
      </c>
      <c r="P99" s="273">
        <v>57903350</v>
      </c>
      <c r="Q99" s="273">
        <v>50298268</v>
      </c>
      <c r="R99" s="273">
        <v>50298268</v>
      </c>
      <c r="S99" s="273">
        <v>50298268</v>
      </c>
    </row>
    <row r="100" spans="1:19" ht="138.75" customHeight="1" x14ac:dyDescent="0.25">
      <c r="A100" s="164"/>
      <c r="B100" s="300"/>
      <c r="C100" s="78"/>
      <c r="D100" s="163"/>
      <c r="E100" s="62"/>
      <c r="F100" s="9"/>
      <c r="G100" s="9"/>
      <c r="H100" s="9"/>
      <c r="I100" s="9"/>
      <c r="J100" s="9"/>
      <c r="K100" s="55" t="s">
        <v>388</v>
      </c>
      <c r="L100" s="9"/>
      <c r="M100" s="9" t="s">
        <v>389</v>
      </c>
      <c r="N100" s="274"/>
      <c r="O100" s="274"/>
      <c r="P100" s="274"/>
      <c r="Q100" s="274"/>
      <c r="R100" s="274"/>
      <c r="S100" s="274"/>
    </row>
    <row r="101" spans="1:19" s="20" customFormat="1" ht="114" x14ac:dyDescent="0.2">
      <c r="A101" s="14">
        <v>2600</v>
      </c>
      <c r="B101" s="165" t="s">
        <v>490</v>
      </c>
      <c r="C101" s="59"/>
      <c r="D101" s="60"/>
      <c r="E101" s="15"/>
      <c r="F101" s="15"/>
      <c r="G101" s="15"/>
      <c r="H101" s="15"/>
      <c r="I101" s="15"/>
      <c r="J101" s="15"/>
      <c r="K101" s="226"/>
      <c r="L101" s="15"/>
      <c r="M101" s="15"/>
      <c r="N101" s="185">
        <f t="shared" ref="N101:S101" si="17">N102+N104</f>
        <v>58952415.5</v>
      </c>
      <c r="O101" s="185">
        <f t="shared" si="17"/>
        <v>52981337.719999999</v>
      </c>
      <c r="P101" s="185">
        <f t="shared" si="17"/>
        <v>70787486.560000002</v>
      </c>
      <c r="Q101" s="185">
        <f t="shared" si="17"/>
        <v>68354533</v>
      </c>
      <c r="R101" s="185">
        <f t="shared" si="17"/>
        <v>69398533</v>
      </c>
      <c r="S101" s="185">
        <f t="shared" si="17"/>
        <v>25606833</v>
      </c>
    </row>
    <row r="102" spans="1:19" ht="90" x14ac:dyDescent="0.25">
      <c r="A102" s="61" t="s">
        <v>480</v>
      </c>
      <c r="B102" s="79" t="s">
        <v>576</v>
      </c>
      <c r="C102" s="77">
        <v>906</v>
      </c>
      <c r="D102" s="74" t="s">
        <v>201</v>
      </c>
      <c r="E102" s="62" t="s">
        <v>20</v>
      </c>
      <c r="F102" s="9" t="s">
        <v>340</v>
      </c>
      <c r="G102" s="9" t="s">
        <v>21</v>
      </c>
      <c r="H102" s="9" t="s">
        <v>24</v>
      </c>
      <c r="I102" s="9" t="s">
        <v>48</v>
      </c>
      <c r="J102" s="9" t="s">
        <v>26</v>
      </c>
      <c r="K102" s="55" t="s">
        <v>29</v>
      </c>
      <c r="L102" s="9"/>
      <c r="M102" s="9" t="s">
        <v>30</v>
      </c>
      <c r="N102" s="273">
        <v>7507498.3099999996</v>
      </c>
      <c r="O102" s="273">
        <v>7350881.71</v>
      </c>
      <c r="P102" s="273">
        <f>8479954.56+20832</f>
        <v>8500786.5600000005</v>
      </c>
      <c r="Q102" s="273">
        <v>8155733</v>
      </c>
      <c r="R102" s="273">
        <v>8155733</v>
      </c>
      <c r="S102" s="273">
        <v>8155733</v>
      </c>
    </row>
    <row r="103" spans="1:19" ht="285" x14ac:dyDescent="0.25">
      <c r="A103" s="70"/>
      <c r="B103" s="80"/>
      <c r="C103" s="71"/>
      <c r="D103" s="75"/>
      <c r="E103" s="62" t="s">
        <v>22</v>
      </c>
      <c r="F103" s="9" t="s">
        <v>48</v>
      </c>
      <c r="G103" s="9" t="s">
        <v>23</v>
      </c>
      <c r="H103" s="9" t="s">
        <v>27</v>
      </c>
      <c r="I103" s="10" t="s">
        <v>48</v>
      </c>
      <c r="J103" s="9" t="s">
        <v>28</v>
      </c>
      <c r="K103" s="55" t="s">
        <v>171</v>
      </c>
      <c r="L103" s="4"/>
      <c r="M103" s="9" t="s">
        <v>172</v>
      </c>
      <c r="N103" s="274"/>
      <c r="O103" s="274"/>
      <c r="P103" s="274"/>
      <c r="Q103" s="274"/>
      <c r="R103" s="274"/>
      <c r="S103" s="274"/>
    </row>
    <row r="104" spans="1:19" ht="409.5" x14ac:dyDescent="0.25">
      <c r="A104" s="11">
        <v>2624</v>
      </c>
      <c r="B104" s="9" t="s">
        <v>580</v>
      </c>
      <c r="C104" s="11">
        <v>906</v>
      </c>
      <c r="D104" s="18" t="s">
        <v>173</v>
      </c>
      <c r="E104" s="9" t="s">
        <v>61</v>
      </c>
      <c r="F104" s="9" t="s">
        <v>180</v>
      </c>
      <c r="G104" s="9" t="s">
        <v>63</v>
      </c>
      <c r="H104" s="9" t="s">
        <v>443</v>
      </c>
      <c r="I104" s="9" t="s">
        <v>216</v>
      </c>
      <c r="J104" s="9" t="s">
        <v>444</v>
      </c>
      <c r="K104" s="233" t="s">
        <v>445</v>
      </c>
      <c r="L104" s="4"/>
      <c r="M104" s="117" t="s">
        <v>446</v>
      </c>
      <c r="N104" s="182">
        <v>51444917.189999998</v>
      </c>
      <c r="O104" s="182">
        <v>45630456.009999998</v>
      </c>
      <c r="P104" s="182">
        <v>62286700</v>
      </c>
      <c r="Q104" s="182">
        <v>60198800</v>
      </c>
      <c r="R104" s="182">
        <v>61242800</v>
      </c>
      <c r="S104" s="182">
        <v>17451100</v>
      </c>
    </row>
    <row r="105" spans="1:19" s="20" customFormat="1" ht="42.75" x14ac:dyDescent="0.2">
      <c r="A105" s="14">
        <v>3200</v>
      </c>
      <c r="B105" s="15" t="s">
        <v>571</v>
      </c>
      <c r="C105" s="21"/>
      <c r="D105" s="23"/>
      <c r="E105" s="15"/>
      <c r="F105" s="15"/>
      <c r="G105" s="15"/>
      <c r="H105" s="15"/>
      <c r="I105" s="15"/>
      <c r="J105" s="15"/>
      <c r="K105" s="226"/>
      <c r="L105" s="15"/>
      <c r="M105" s="15"/>
      <c r="N105" s="185">
        <f t="shared" ref="N105:S105" si="18">SUM(N106:N113)</f>
        <v>58283865.549999997</v>
      </c>
      <c r="O105" s="185">
        <f t="shared" si="18"/>
        <v>56127084.859999999</v>
      </c>
      <c r="P105" s="185">
        <f t="shared" si="18"/>
        <v>76759140</v>
      </c>
      <c r="Q105" s="185">
        <f t="shared" si="18"/>
        <v>78647400</v>
      </c>
      <c r="R105" s="185">
        <f t="shared" si="18"/>
        <v>78647400</v>
      </c>
      <c r="S105" s="185">
        <f t="shared" si="18"/>
        <v>78647400</v>
      </c>
    </row>
    <row r="106" spans="1:19" ht="255" x14ac:dyDescent="0.25">
      <c r="A106" s="11">
        <v>3237</v>
      </c>
      <c r="B106" s="9" t="s">
        <v>179</v>
      </c>
      <c r="C106" s="11">
        <v>906</v>
      </c>
      <c r="D106" s="18" t="s">
        <v>173</v>
      </c>
      <c r="E106" s="9" t="s">
        <v>61</v>
      </c>
      <c r="F106" s="9" t="s">
        <v>180</v>
      </c>
      <c r="G106" s="9" t="s">
        <v>63</v>
      </c>
      <c r="H106" s="9" t="s">
        <v>181</v>
      </c>
      <c r="I106" s="9" t="s">
        <v>182</v>
      </c>
      <c r="J106" s="9" t="s">
        <v>183</v>
      </c>
      <c r="K106" s="55" t="s">
        <v>184</v>
      </c>
      <c r="L106" s="9"/>
      <c r="M106" s="9" t="s">
        <v>185</v>
      </c>
      <c r="N106" s="186">
        <v>31190065.550000001</v>
      </c>
      <c r="O106" s="186">
        <v>29752981.079999998</v>
      </c>
      <c r="P106" s="186">
        <v>38343600</v>
      </c>
      <c r="Q106" s="186">
        <v>38343600</v>
      </c>
      <c r="R106" s="186">
        <v>38343600</v>
      </c>
      <c r="S106" s="186">
        <v>38343600</v>
      </c>
    </row>
    <row r="107" spans="1:19" ht="90" x14ac:dyDescent="0.25">
      <c r="A107" s="11"/>
      <c r="B107" s="9"/>
      <c r="C107" s="11"/>
      <c r="D107" s="18"/>
      <c r="E107" s="9"/>
      <c r="F107" s="9"/>
      <c r="G107" s="9"/>
      <c r="H107" s="9"/>
      <c r="I107" s="9"/>
      <c r="J107" s="9"/>
      <c r="K107" s="228" t="s">
        <v>405</v>
      </c>
      <c r="L107" s="4"/>
      <c r="M107" s="8" t="s">
        <v>406</v>
      </c>
      <c r="N107" s="182"/>
      <c r="O107" s="182"/>
      <c r="P107" s="182"/>
      <c r="Q107" s="182"/>
      <c r="R107" s="182"/>
      <c r="S107" s="182"/>
    </row>
    <row r="108" spans="1:19" ht="180" x14ac:dyDescent="0.25">
      <c r="A108" s="11"/>
      <c r="B108" s="9"/>
      <c r="C108" s="11"/>
      <c r="D108" s="18"/>
      <c r="E108" s="9"/>
      <c r="F108" s="9"/>
      <c r="G108" s="9"/>
      <c r="H108" s="9"/>
      <c r="I108" s="9"/>
      <c r="J108" s="9"/>
      <c r="K108" s="233" t="s">
        <v>430</v>
      </c>
      <c r="L108" s="4"/>
      <c r="M108" s="117" t="s">
        <v>431</v>
      </c>
      <c r="N108" s="182"/>
      <c r="O108" s="182"/>
      <c r="P108" s="182"/>
      <c r="Q108" s="182"/>
      <c r="R108" s="182"/>
      <c r="S108" s="182"/>
    </row>
    <row r="109" spans="1:19" ht="180" x14ac:dyDescent="0.25">
      <c r="A109" s="11"/>
      <c r="B109" s="9"/>
      <c r="C109" s="11"/>
      <c r="D109" s="18"/>
      <c r="E109" s="9"/>
      <c r="F109" s="9"/>
      <c r="G109" s="9"/>
      <c r="H109" s="9"/>
      <c r="I109" s="9"/>
      <c r="J109" s="9"/>
      <c r="K109" s="233" t="s">
        <v>432</v>
      </c>
      <c r="L109" s="4"/>
      <c r="M109" s="117" t="s">
        <v>431</v>
      </c>
      <c r="N109" s="182"/>
      <c r="O109" s="182"/>
      <c r="P109" s="182"/>
      <c r="Q109" s="182"/>
      <c r="R109" s="182"/>
      <c r="S109" s="182"/>
    </row>
    <row r="110" spans="1:19" ht="405" x14ac:dyDescent="0.25">
      <c r="A110" s="11">
        <v>3236</v>
      </c>
      <c r="B110" s="9" t="s">
        <v>186</v>
      </c>
      <c r="C110" s="11">
        <v>906</v>
      </c>
      <c r="D110" s="18" t="s">
        <v>198</v>
      </c>
      <c r="E110" s="9" t="s">
        <v>61</v>
      </c>
      <c r="F110" s="9" t="s">
        <v>187</v>
      </c>
      <c r="G110" s="9" t="s">
        <v>63</v>
      </c>
      <c r="H110" s="9" t="s">
        <v>188</v>
      </c>
      <c r="I110" s="9" t="s">
        <v>182</v>
      </c>
      <c r="J110" s="9" t="s">
        <v>189</v>
      </c>
      <c r="K110" s="55" t="s">
        <v>190</v>
      </c>
      <c r="L110" s="9"/>
      <c r="M110" s="9" t="s">
        <v>191</v>
      </c>
      <c r="N110" s="183">
        <v>1642700</v>
      </c>
      <c r="O110" s="183">
        <v>1542700</v>
      </c>
      <c r="P110" s="183">
        <v>3177600</v>
      </c>
      <c r="Q110" s="183">
        <v>3177600</v>
      </c>
      <c r="R110" s="183">
        <v>3177600</v>
      </c>
      <c r="S110" s="183">
        <v>3177600</v>
      </c>
    </row>
    <row r="111" spans="1:19" ht="270" x14ac:dyDescent="0.25">
      <c r="A111" s="133">
        <v>3237</v>
      </c>
      <c r="B111" s="132" t="s">
        <v>192</v>
      </c>
      <c r="C111" s="133">
        <v>906</v>
      </c>
      <c r="D111" s="134" t="s">
        <v>123</v>
      </c>
      <c r="E111" s="132" t="s">
        <v>61</v>
      </c>
      <c r="F111" s="132" t="s">
        <v>193</v>
      </c>
      <c r="G111" s="132" t="s">
        <v>63</v>
      </c>
      <c r="H111" s="132" t="s">
        <v>194</v>
      </c>
      <c r="I111" s="132" t="s">
        <v>48</v>
      </c>
      <c r="J111" s="132" t="s">
        <v>195</v>
      </c>
      <c r="K111" s="55" t="s">
        <v>196</v>
      </c>
      <c r="L111" s="9"/>
      <c r="M111" s="9" t="s">
        <v>197</v>
      </c>
      <c r="N111" s="182">
        <v>5705900</v>
      </c>
      <c r="O111" s="182">
        <v>5266575.7699999996</v>
      </c>
      <c r="P111" s="182">
        <v>6000000</v>
      </c>
      <c r="Q111" s="182">
        <v>12278400</v>
      </c>
      <c r="R111" s="182">
        <v>12278400</v>
      </c>
      <c r="S111" s="182">
        <v>12278400</v>
      </c>
    </row>
    <row r="112" spans="1:19" ht="210" x14ac:dyDescent="0.25">
      <c r="A112" s="11">
        <v>3237</v>
      </c>
      <c r="B112" s="9" t="s">
        <v>385</v>
      </c>
      <c r="C112" s="11">
        <v>906</v>
      </c>
      <c r="D112" s="18" t="s">
        <v>291</v>
      </c>
      <c r="E112" s="9" t="s">
        <v>61</v>
      </c>
      <c r="F112" s="9" t="s">
        <v>202</v>
      </c>
      <c r="G112" s="9" t="s">
        <v>63</v>
      </c>
      <c r="H112" s="11"/>
      <c r="I112" s="11"/>
      <c r="J112" s="11"/>
      <c r="K112" s="55" t="s">
        <v>410</v>
      </c>
      <c r="L112" s="9"/>
      <c r="M112" s="9" t="s">
        <v>411</v>
      </c>
      <c r="N112" s="186">
        <v>10436100</v>
      </c>
      <c r="O112" s="186">
        <v>10436013.99</v>
      </c>
      <c r="P112" s="186">
        <v>18626300</v>
      </c>
      <c r="Q112" s="186">
        <v>15514000</v>
      </c>
      <c r="R112" s="186">
        <v>15514000</v>
      </c>
      <c r="S112" s="186">
        <v>15514000</v>
      </c>
    </row>
    <row r="113" spans="1:19" ht="210" x14ac:dyDescent="0.25">
      <c r="A113" s="11">
        <v>3237</v>
      </c>
      <c r="B113" s="9" t="s">
        <v>368</v>
      </c>
      <c r="C113" s="11">
        <v>906</v>
      </c>
      <c r="D113" s="18" t="s">
        <v>201</v>
      </c>
      <c r="E113" s="9" t="s">
        <v>61</v>
      </c>
      <c r="F113" s="9" t="s">
        <v>202</v>
      </c>
      <c r="G113" s="9" t="s">
        <v>63</v>
      </c>
      <c r="H113" s="9" t="s">
        <v>203</v>
      </c>
      <c r="I113" s="9" t="s">
        <v>48</v>
      </c>
      <c r="J113" s="9" t="s">
        <v>28</v>
      </c>
      <c r="K113" s="55" t="s">
        <v>204</v>
      </c>
      <c r="L113" s="9"/>
      <c r="M113" s="9" t="s">
        <v>205</v>
      </c>
      <c r="N113" s="186">
        <v>9309100</v>
      </c>
      <c r="O113" s="186">
        <v>9128814.0199999996</v>
      </c>
      <c r="P113" s="186">
        <v>10611640</v>
      </c>
      <c r="Q113" s="186">
        <v>9333800</v>
      </c>
      <c r="R113" s="186">
        <v>9333800</v>
      </c>
      <c r="S113" s="186">
        <v>9333800</v>
      </c>
    </row>
    <row r="114" spans="1:19" s="20" customFormat="1" ht="77.25" customHeight="1" x14ac:dyDescent="0.2">
      <c r="A114" s="66">
        <v>3400</v>
      </c>
      <c r="B114" s="25" t="s">
        <v>581</v>
      </c>
      <c r="C114" s="66"/>
      <c r="D114" s="60"/>
      <c r="E114" s="15"/>
      <c r="F114" s="15"/>
      <c r="G114" s="15"/>
      <c r="H114" s="25"/>
      <c r="I114" s="25"/>
      <c r="J114" s="25"/>
      <c r="K114" s="226"/>
      <c r="L114" s="15"/>
      <c r="M114" s="15"/>
      <c r="N114" s="193">
        <f t="shared" ref="N114:S114" si="19">N115+N117+N119</f>
        <v>958676940</v>
      </c>
      <c r="O114" s="193">
        <f t="shared" si="19"/>
        <v>958675840</v>
      </c>
      <c r="P114" s="193">
        <f t="shared" si="19"/>
        <v>1065149806.76</v>
      </c>
      <c r="Q114" s="193">
        <f t="shared" si="19"/>
        <v>970797700</v>
      </c>
      <c r="R114" s="193">
        <f t="shared" si="19"/>
        <v>970797700</v>
      </c>
      <c r="S114" s="193">
        <f t="shared" si="19"/>
        <v>953622500</v>
      </c>
    </row>
    <row r="115" spans="1:19" ht="255" x14ac:dyDescent="0.25">
      <c r="A115" s="276">
        <v>3401</v>
      </c>
      <c r="B115" s="279" t="s">
        <v>486</v>
      </c>
      <c r="C115" s="276">
        <v>906</v>
      </c>
      <c r="D115" s="286" t="s">
        <v>173</v>
      </c>
      <c r="E115" s="9" t="s">
        <v>61</v>
      </c>
      <c r="F115" s="9" t="s">
        <v>174</v>
      </c>
      <c r="G115" s="9" t="s">
        <v>63</v>
      </c>
      <c r="H115" s="279"/>
      <c r="I115" s="279"/>
      <c r="J115" s="279"/>
      <c r="K115" s="55" t="s">
        <v>178</v>
      </c>
      <c r="L115" s="9"/>
      <c r="M115" s="9" t="s">
        <v>87</v>
      </c>
      <c r="N115" s="273">
        <f>68988470+427834700</f>
        <v>496823170</v>
      </c>
      <c r="O115" s="273">
        <f>427834700+68988470</f>
        <v>496823170</v>
      </c>
      <c r="P115" s="273">
        <f>451446468.21+103286791</f>
        <v>554733259.21000004</v>
      </c>
      <c r="Q115" s="273">
        <f>68988500+426616200</f>
        <v>495604700</v>
      </c>
      <c r="R115" s="273">
        <f>68988500+426616200</f>
        <v>495604700</v>
      </c>
      <c r="S115" s="273">
        <v>478429458</v>
      </c>
    </row>
    <row r="116" spans="1:19" ht="60" x14ac:dyDescent="0.25">
      <c r="A116" s="277"/>
      <c r="B116" s="280"/>
      <c r="C116" s="277"/>
      <c r="D116" s="288"/>
      <c r="E116" s="8" t="s">
        <v>175</v>
      </c>
      <c r="F116" s="9" t="s">
        <v>176</v>
      </c>
      <c r="G116" s="9" t="s">
        <v>177</v>
      </c>
      <c r="H116" s="280"/>
      <c r="I116" s="280"/>
      <c r="J116" s="280"/>
      <c r="K116" s="228"/>
      <c r="L116" s="4"/>
      <c r="M116" s="8"/>
      <c r="N116" s="274"/>
      <c r="O116" s="274"/>
      <c r="P116" s="274"/>
      <c r="Q116" s="274"/>
      <c r="R116" s="274"/>
      <c r="S116" s="274"/>
    </row>
    <row r="117" spans="1:19" ht="225" x14ac:dyDescent="0.25">
      <c r="A117" s="276">
        <v>3403</v>
      </c>
      <c r="B117" s="279" t="s">
        <v>485</v>
      </c>
      <c r="C117" s="276">
        <v>906</v>
      </c>
      <c r="D117" s="286" t="s">
        <v>198</v>
      </c>
      <c r="E117" s="9" t="s">
        <v>61</v>
      </c>
      <c r="F117" s="9" t="s">
        <v>193</v>
      </c>
      <c r="G117" s="9" t="s">
        <v>63</v>
      </c>
      <c r="H117" s="276"/>
      <c r="I117" s="276"/>
      <c r="J117" s="276"/>
      <c r="K117" s="55" t="s">
        <v>199</v>
      </c>
      <c r="L117" s="9"/>
      <c r="M117" s="9" t="s">
        <v>200</v>
      </c>
      <c r="N117" s="273">
        <f>318214080+120714290</f>
        <v>438928370</v>
      </c>
      <c r="O117" s="273">
        <f>120713190+318214080</f>
        <v>438927270</v>
      </c>
      <c r="P117" s="273">
        <f>156441020+326478600</f>
        <v>482919620</v>
      </c>
      <c r="Q117" s="273">
        <f>316554400+135713200</f>
        <v>452267600</v>
      </c>
      <c r="R117" s="273">
        <f>135713200+316554400</f>
        <v>452267600</v>
      </c>
      <c r="S117" s="273">
        <f>316554400+135713200</f>
        <v>452267600</v>
      </c>
    </row>
    <row r="118" spans="1:19" ht="60" x14ac:dyDescent="0.25">
      <c r="A118" s="277"/>
      <c r="B118" s="280"/>
      <c r="C118" s="277"/>
      <c r="D118" s="288"/>
      <c r="E118" s="9" t="s">
        <v>175</v>
      </c>
      <c r="F118" s="9" t="s">
        <v>176</v>
      </c>
      <c r="G118" s="9" t="s">
        <v>177</v>
      </c>
      <c r="H118" s="277"/>
      <c r="I118" s="277"/>
      <c r="J118" s="277"/>
      <c r="K118" s="55"/>
      <c r="L118" s="9"/>
      <c r="M118" s="9"/>
      <c r="N118" s="274"/>
      <c r="O118" s="274"/>
      <c r="P118" s="274"/>
      <c r="Q118" s="274"/>
      <c r="R118" s="274"/>
      <c r="S118" s="274"/>
    </row>
    <row r="119" spans="1:19" ht="300" x14ac:dyDescent="0.25">
      <c r="A119" s="11">
        <v>3404</v>
      </c>
      <c r="B119" s="161" t="s">
        <v>487</v>
      </c>
      <c r="C119" s="11">
        <v>906</v>
      </c>
      <c r="D119" s="18" t="s">
        <v>289</v>
      </c>
      <c r="E119" s="9" t="s">
        <v>61</v>
      </c>
      <c r="F119" s="9" t="s">
        <v>174</v>
      </c>
      <c r="G119" s="9" t="s">
        <v>63</v>
      </c>
      <c r="H119" s="9"/>
      <c r="I119" s="9"/>
      <c r="J119" s="9"/>
      <c r="K119" s="55" t="s">
        <v>178</v>
      </c>
      <c r="L119" s="9"/>
      <c r="M119" s="9" t="s">
        <v>87</v>
      </c>
      <c r="N119" s="186">
        <v>22925400</v>
      </c>
      <c r="O119" s="186">
        <v>22925400</v>
      </c>
      <c r="P119" s="186">
        <v>27496927.550000001</v>
      </c>
      <c r="Q119" s="186">
        <v>22925400</v>
      </c>
      <c r="R119" s="186">
        <v>22925400</v>
      </c>
      <c r="S119" s="186">
        <v>22925442</v>
      </c>
    </row>
    <row r="120" spans="1:19" s="20" customFormat="1" ht="57" x14ac:dyDescent="0.2">
      <c r="A120" s="30"/>
      <c r="B120" s="29" t="s">
        <v>206</v>
      </c>
      <c r="C120" s="30">
        <v>909</v>
      </c>
      <c r="D120" s="31"/>
      <c r="E120" s="29"/>
      <c r="F120" s="29"/>
      <c r="G120" s="29"/>
      <c r="H120" s="29"/>
      <c r="I120" s="29"/>
      <c r="J120" s="29"/>
      <c r="K120" s="227"/>
      <c r="L120" s="29"/>
      <c r="M120" s="29"/>
      <c r="N120" s="191">
        <f t="shared" ref="N120:S120" si="20">N121+N151+N156</f>
        <v>855324841.59000003</v>
      </c>
      <c r="O120" s="191">
        <f t="shared" si="20"/>
        <v>830210593.45000005</v>
      </c>
      <c r="P120" s="191">
        <f t="shared" si="20"/>
        <v>790350539.91000009</v>
      </c>
      <c r="Q120" s="191">
        <f t="shared" si="20"/>
        <v>297096434.99000001</v>
      </c>
      <c r="R120" s="191">
        <f t="shared" si="20"/>
        <v>255046108.19</v>
      </c>
      <c r="S120" s="191">
        <f t="shared" si="20"/>
        <v>255092034</v>
      </c>
    </row>
    <row r="121" spans="1:19" s="20" customFormat="1" ht="57" x14ac:dyDescent="0.2">
      <c r="A121" s="82">
        <v>2500</v>
      </c>
      <c r="B121" s="90" t="s">
        <v>489</v>
      </c>
      <c r="C121" s="15"/>
      <c r="D121" s="23"/>
      <c r="E121" s="15"/>
      <c r="F121" s="15"/>
      <c r="G121" s="15"/>
      <c r="H121" s="15"/>
      <c r="I121" s="15"/>
      <c r="J121" s="15"/>
      <c r="K121" s="226"/>
      <c r="L121" s="15"/>
      <c r="M121" s="15"/>
      <c r="N121" s="185">
        <f>N122+N125+N130+N132+N134+N137+N140+N143+N146</f>
        <v>805419448.59000003</v>
      </c>
      <c r="O121" s="185">
        <f>O122+O125+O130+O132+O134+O137+O140+O143+O146</f>
        <v>784584348.26999998</v>
      </c>
      <c r="P121" s="185">
        <f>P122+P125+P130+P132+P134+P137+P140+P143+P146</f>
        <v>732705478.91000009</v>
      </c>
      <c r="Q121" s="185">
        <f t="shared" ref="Q121:S121" si="21">Q122+Q125+Q130+Q132+Q134+Q137+Q140+Q143+Q146</f>
        <v>259049613.99000001</v>
      </c>
      <c r="R121" s="185">
        <f t="shared" si="21"/>
        <v>216734487.19</v>
      </c>
      <c r="S121" s="185">
        <f t="shared" si="21"/>
        <v>216746883</v>
      </c>
    </row>
    <row r="122" spans="1:19" ht="90" x14ac:dyDescent="0.25">
      <c r="A122" s="276">
        <v>2505</v>
      </c>
      <c r="B122" s="279" t="s">
        <v>210</v>
      </c>
      <c r="C122" s="276">
        <v>909</v>
      </c>
      <c r="D122" s="286" t="s">
        <v>407</v>
      </c>
      <c r="E122" s="136" t="s">
        <v>20</v>
      </c>
      <c r="F122" s="136" t="s">
        <v>212</v>
      </c>
      <c r="G122" s="136" t="s">
        <v>91</v>
      </c>
      <c r="H122" s="341" t="s">
        <v>215</v>
      </c>
      <c r="I122" s="136" t="s">
        <v>216</v>
      </c>
      <c r="J122" s="136" t="s">
        <v>217</v>
      </c>
      <c r="K122" s="55" t="s">
        <v>29</v>
      </c>
      <c r="L122" s="9" t="s">
        <v>218</v>
      </c>
      <c r="M122" s="9" t="s">
        <v>37</v>
      </c>
      <c r="N122" s="273">
        <f>299899.89+767210.4+491534.17</f>
        <v>1558644.46</v>
      </c>
      <c r="O122" s="273">
        <f>299899.89+767210.4+491534.17</f>
        <v>1558644.46</v>
      </c>
      <c r="P122" s="273">
        <f>255409.05+6043737.12+483711.6+135901.2</f>
        <v>6918758.9699999997</v>
      </c>
      <c r="Q122" s="273">
        <f>400000+400000+900000+100000+700000</f>
        <v>2500000</v>
      </c>
      <c r="R122" s="273">
        <f>400000+400000+900000+100000+700000</f>
        <v>2500000</v>
      </c>
      <c r="S122" s="273">
        <v>2500000</v>
      </c>
    </row>
    <row r="123" spans="1:19" ht="75" x14ac:dyDescent="0.25">
      <c r="A123" s="298"/>
      <c r="B123" s="297"/>
      <c r="C123" s="298"/>
      <c r="D123" s="307"/>
      <c r="E123" s="148"/>
      <c r="F123" s="148"/>
      <c r="G123" s="148"/>
      <c r="H123" s="342"/>
      <c r="I123" s="148"/>
      <c r="J123" s="148"/>
      <c r="K123" s="55" t="s">
        <v>450</v>
      </c>
      <c r="L123" s="9"/>
      <c r="M123" s="9" t="s">
        <v>449</v>
      </c>
      <c r="N123" s="275"/>
      <c r="O123" s="275"/>
      <c r="P123" s="275"/>
      <c r="Q123" s="275"/>
      <c r="R123" s="275"/>
      <c r="S123" s="275"/>
    </row>
    <row r="124" spans="1:19" ht="90" x14ac:dyDescent="0.25">
      <c r="A124" s="298"/>
      <c r="B124" s="297"/>
      <c r="C124" s="298"/>
      <c r="D124" s="287"/>
      <c r="E124" s="137" t="s">
        <v>213</v>
      </c>
      <c r="F124" s="137" t="s">
        <v>214</v>
      </c>
      <c r="G124" s="137" t="s">
        <v>189</v>
      </c>
      <c r="H124" s="137"/>
      <c r="I124" s="137"/>
      <c r="J124" s="137"/>
      <c r="K124" s="55" t="s">
        <v>469</v>
      </c>
      <c r="L124" s="9"/>
      <c r="M124" s="9" t="s">
        <v>470</v>
      </c>
      <c r="N124" s="275"/>
      <c r="O124" s="275"/>
      <c r="P124" s="274"/>
      <c r="Q124" s="274"/>
      <c r="R124" s="275"/>
      <c r="S124" s="275"/>
    </row>
    <row r="125" spans="1:19" ht="135" x14ac:dyDescent="0.25">
      <c r="A125" s="276">
        <v>2507</v>
      </c>
      <c r="B125" s="279" t="s">
        <v>582</v>
      </c>
      <c r="C125" s="276">
        <v>909</v>
      </c>
      <c r="D125" s="286" t="s">
        <v>220</v>
      </c>
      <c r="E125" s="9" t="s">
        <v>221</v>
      </c>
      <c r="F125" s="9" t="s">
        <v>222</v>
      </c>
      <c r="G125" s="9" t="s">
        <v>223</v>
      </c>
      <c r="H125" s="9" t="s">
        <v>224</v>
      </c>
      <c r="I125" s="9" t="s">
        <v>48</v>
      </c>
      <c r="J125" s="9" t="s">
        <v>225</v>
      </c>
      <c r="K125" s="55" t="s">
        <v>29</v>
      </c>
      <c r="L125" s="9" t="s">
        <v>230</v>
      </c>
      <c r="M125" s="9" t="s">
        <v>30</v>
      </c>
      <c r="N125" s="273">
        <f>231529489.62+450000</f>
        <v>231979489.62</v>
      </c>
      <c r="O125" s="273">
        <f>230920155.45+450000</f>
        <v>231370155.44999999</v>
      </c>
      <c r="P125" s="273">
        <v>380863634.57999998</v>
      </c>
      <c r="Q125" s="273">
        <v>113794769</v>
      </c>
      <c r="R125" s="273">
        <v>70096779</v>
      </c>
      <c r="S125" s="273">
        <v>106881279</v>
      </c>
    </row>
    <row r="126" spans="1:19" ht="60" x14ac:dyDescent="0.25">
      <c r="A126" s="298"/>
      <c r="B126" s="297"/>
      <c r="C126" s="298"/>
      <c r="D126" s="287"/>
      <c r="E126" s="9"/>
      <c r="F126" s="9"/>
      <c r="G126" s="9"/>
      <c r="H126" s="9"/>
      <c r="I126" s="9"/>
      <c r="J126" s="9"/>
      <c r="K126" s="55" t="s">
        <v>228</v>
      </c>
      <c r="L126" s="9"/>
      <c r="M126" s="9" t="s">
        <v>229</v>
      </c>
      <c r="N126" s="275"/>
      <c r="O126" s="275"/>
      <c r="P126" s="275"/>
      <c r="Q126" s="275"/>
      <c r="R126" s="275"/>
      <c r="S126" s="275"/>
    </row>
    <row r="127" spans="1:19" ht="105" x14ac:dyDescent="0.25">
      <c r="A127" s="298"/>
      <c r="B127" s="297"/>
      <c r="C127" s="298"/>
      <c r="D127" s="287"/>
      <c r="E127" s="9"/>
      <c r="F127" s="9"/>
      <c r="G127" s="9"/>
      <c r="H127" s="9"/>
      <c r="I127" s="9"/>
      <c r="J127" s="9"/>
      <c r="K127" s="55" t="s">
        <v>226</v>
      </c>
      <c r="L127" s="9"/>
      <c r="M127" s="9" t="s">
        <v>227</v>
      </c>
      <c r="N127" s="275"/>
      <c r="O127" s="275"/>
      <c r="P127" s="275"/>
      <c r="Q127" s="275"/>
      <c r="R127" s="275"/>
      <c r="S127" s="275"/>
    </row>
    <row r="128" spans="1:19" ht="150" x14ac:dyDescent="0.25">
      <c r="A128" s="277"/>
      <c r="B128" s="280"/>
      <c r="C128" s="277"/>
      <c r="D128" s="288"/>
      <c r="E128" s="9"/>
      <c r="F128" s="9"/>
      <c r="G128" s="9"/>
      <c r="H128" s="9"/>
      <c r="I128" s="9"/>
      <c r="J128" s="9"/>
      <c r="K128" s="55" t="s">
        <v>497</v>
      </c>
      <c r="L128" s="9"/>
      <c r="M128" s="9" t="s">
        <v>498</v>
      </c>
      <c r="N128" s="274"/>
      <c r="O128" s="274"/>
      <c r="P128" s="274"/>
      <c r="Q128" s="274"/>
      <c r="R128" s="274"/>
      <c r="S128" s="274"/>
    </row>
    <row r="129" spans="1:20" ht="75" x14ac:dyDescent="0.25">
      <c r="A129" s="218"/>
      <c r="B129" s="220"/>
      <c r="C129" s="218"/>
      <c r="D129" s="219"/>
      <c r="E129" s="9"/>
      <c r="F129" s="9"/>
      <c r="G129" s="9"/>
      <c r="H129" s="9"/>
      <c r="I129" s="9"/>
      <c r="J129" s="9"/>
      <c r="K129" s="55" t="s">
        <v>560</v>
      </c>
      <c r="L129" s="9"/>
      <c r="M129" s="9" t="s">
        <v>561</v>
      </c>
      <c r="N129" s="217"/>
      <c r="O129" s="217"/>
      <c r="P129" s="217"/>
      <c r="Q129" s="217"/>
      <c r="R129" s="217"/>
      <c r="S129" s="217"/>
    </row>
    <row r="130" spans="1:20" ht="240" x14ac:dyDescent="0.25">
      <c r="A130" s="276">
        <v>2508</v>
      </c>
      <c r="B130" s="279" t="s">
        <v>38</v>
      </c>
      <c r="C130" s="276">
        <v>909</v>
      </c>
      <c r="D130" s="286" t="s">
        <v>112</v>
      </c>
      <c r="E130" s="9" t="s">
        <v>20</v>
      </c>
      <c r="F130" s="9" t="s">
        <v>231</v>
      </c>
      <c r="G130" s="9" t="s">
        <v>91</v>
      </c>
      <c r="H130" s="9"/>
      <c r="I130" s="9"/>
      <c r="J130" s="9"/>
      <c r="K130" s="55" t="s">
        <v>475</v>
      </c>
      <c r="L130" s="9"/>
      <c r="M130" s="9" t="s">
        <v>476</v>
      </c>
      <c r="N130" s="295">
        <f>179277384.8-5551362</f>
        <v>173726022.80000001</v>
      </c>
      <c r="O130" s="295">
        <f>178644042.16-5551362</f>
        <v>173092680.16</v>
      </c>
      <c r="P130" s="273">
        <f>49349137-2700805.96</f>
        <v>46648331.039999999</v>
      </c>
      <c r="Q130" s="273">
        <f>4911313-2000000</f>
        <v>2911313</v>
      </c>
      <c r="R130" s="273">
        <f>3924485-2000000</f>
        <v>1924485</v>
      </c>
      <c r="S130" s="273">
        <v>4126385</v>
      </c>
    </row>
    <row r="131" spans="1:20" ht="45" x14ac:dyDescent="0.25">
      <c r="A131" s="277"/>
      <c r="B131" s="280"/>
      <c r="C131" s="277"/>
      <c r="D131" s="288"/>
      <c r="E131" s="9"/>
      <c r="F131" s="9"/>
      <c r="G131" s="9"/>
      <c r="H131" s="9"/>
      <c r="I131" s="9"/>
      <c r="J131" s="9"/>
      <c r="K131" s="55" t="s">
        <v>29</v>
      </c>
      <c r="L131" s="9" t="s">
        <v>114</v>
      </c>
      <c r="M131" s="9" t="s">
        <v>30</v>
      </c>
      <c r="N131" s="296"/>
      <c r="O131" s="296"/>
      <c r="P131" s="274"/>
      <c r="Q131" s="274"/>
      <c r="R131" s="274"/>
      <c r="S131" s="274"/>
    </row>
    <row r="132" spans="1:20" ht="225" x14ac:dyDescent="0.25">
      <c r="A132" s="276">
        <v>2511</v>
      </c>
      <c r="B132" s="279" t="s">
        <v>232</v>
      </c>
      <c r="C132" s="276">
        <v>909</v>
      </c>
      <c r="D132" s="286" t="s">
        <v>233</v>
      </c>
      <c r="E132" s="9" t="s">
        <v>20</v>
      </c>
      <c r="F132" s="9" t="s">
        <v>234</v>
      </c>
      <c r="G132" s="9" t="s">
        <v>91</v>
      </c>
      <c r="H132" s="9" t="s">
        <v>235</v>
      </c>
      <c r="I132" s="9" t="s">
        <v>48</v>
      </c>
      <c r="J132" s="9" t="s">
        <v>236</v>
      </c>
      <c r="K132" s="55" t="s">
        <v>240</v>
      </c>
      <c r="L132" s="9"/>
      <c r="M132" s="9" t="s">
        <v>241</v>
      </c>
      <c r="N132" s="273">
        <v>58314020</v>
      </c>
      <c r="O132" s="273">
        <v>57672209.310000002</v>
      </c>
      <c r="P132" s="273">
        <v>62921020</v>
      </c>
      <c r="Q132" s="273">
        <v>41408157</v>
      </c>
      <c r="R132" s="273">
        <v>41408157</v>
      </c>
      <c r="S132" s="273">
        <v>41408157</v>
      </c>
    </row>
    <row r="133" spans="1:20" ht="75" x14ac:dyDescent="0.25">
      <c r="A133" s="277"/>
      <c r="B133" s="280"/>
      <c r="C133" s="277"/>
      <c r="D133" s="288"/>
      <c r="E133" s="9"/>
      <c r="F133" s="9"/>
      <c r="G133" s="9"/>
      <c r="H133" s="9" t="s">
        <v>237</v>
      </c>
      <c r="I133" s="9" t="s">
        <v>238</v>
      </c>
      <c r="J133" s="9" t="s">
        <v>239</v>
      </c>
      <c r="K133" s="55" t="s">
        <v>29</v>
      </c>
      <c r="L133" s="9" t="s">
        <v>499</v>
      </c>
      <c r="M133" s="9" t="s">
        <v>30</v>
      </c>
      <c r="N133" s="274"/>
      <c r="O133" s="274"/>
      <c r="P133" s="274"/>
      <c r="Q133" s="274"/>
      <c r="R133" s="274"/>
      <c r="S133" s="274"/>
    </row>
    <row r="134" spans="1:20" ht="45" x14ac:dyDescent="0.25">
      <c r="A134" s="276">
        <v>2529</v>
      </c>
      <c r="B134" s="279" t="s">
        <v>242</v>
      </c>
      <c r="C134" s="276">
        <v>909</v>
      </c>
      <c r="D134" s="286" t="s">
        <v>211</v>
      </c>
      <c r="E134" s="279" t="s">
        <v>20</v>
      </c>
      <c r="F134" s="276" t="s">
        <v>243</v>
      </c>
      <c r="G134" s="292" t="s">
        <v>91</v>
      </c>
      <c r="H134" s="276"/>
      <c r="I134" s="276"/>
      <c r="J134" s="276"/>
      <c r="K134" s="55" t="s">
        <v>29</v>
      </c>
      <c r="L134" s="9" t="s">
        <v>168</v>
      </c>
      <c r="M134" s="9" t="s">
        <v>30</v>
      </c>
      <c r="N134" s="273">
        <v>8237000</v>
      </c>
      <c r="O134" s="273">
        <v>8237000</v>
      </c>
      <c r="P134" s="273">
        <v>8902000</v>
      </c>
      <c r="Q134" s="273">
        <v>8902000</v>
      </c>
      <c r="R134" s="273">
        <v>8902000</v>
      </c>
      <c r="S134" s="273">
        <v>8902000</v>
      </c>
    </row>
    <row r="135" spans="1:20" ht="225" x14ac:dyDescent="0.25">
      <c r="A135" s="298"/>
      <c r="B135" s="297"/>
      <c r="C135" s="298"/>
      <c r="D135" s="287"/>
      <c r="E135" s="297"/>
      <c r="F135" s="298"/>
      <c r="G135" s="293"/>
      <c r="H135" s="298"/>
      <c r="I135" s="298"/>
      <c r="J135" s="298"/>
      <c r="K135" s="55" t="s">
        <v>244</v>
      </c>
      <c r="L135" s="55"/>
      <c r="M135" s="55" t="s">
        <v>241</v>
      </c>
      <c r="N135" s="275"/>
      <c r="O135" s="275"/>
      <c r="P135" s="275"/>
      <c r="Q135" s="275"/>
      <c r="R135" s="275"/>
      <c r="S135" s="275"/>
    </row>
    <row r="136" spans="1:20" x14ac:dyDescent="0.25">
      <c r="A136" s="277"/>
      <c r="B136" s="280"/>
      <c r="C136" s="277"/>
      <c r="D136" s="288"/>
      <c r="E136" s="280"/>
      <c r="F136" s="277"/>
      <c r="G136" s="294"/>
      <c r="H136" s="277"/>
      <c r="I136" s="277"/>
      <c r="J136" s="277"/>
      <c r="K136" s="55"/>
      <c r="L136" s="9"/>
      <c r="M136" s="9"/>
      <c r="N136" s="274"/>
      <c r="O136" s="274"/>
      <c r="P136" s="274"/>
      <c r="Q136" s="274"/>
      <c r="R136" s="274"/>
      <c r="S136" s="274"/>
    </row>
    <row r="137" spans="1:20" ht="45" x14ac:dyDescent="0.25">
      <c r="A137" s="276">
        <v>2536</v>
      </c>
      <c r="B137" s="279" t="s">
        <v>245</v>
      </c>
      <c r="C137" s="276">
        <v>909</v>
      </c>
      <c r="D137" s="286" t="s">
        <v>425</v>
      </c>
      <c r="E137" s="279" t="s">
        <v>20</v>
      </c>
      <c r="F137" s="279" t="s">
        <v>246</v>
      </c>
      <c r="G137" s="301" t="s">
        <v>91</v>
      </c>
      <c r="H137" s="279" t="s">
        <v>247</v>
      </c>
      <c r="I137" s="279" t="s">
        <v>249</v>
      </c>
      <c r="J137" s="279" t="s">
        <v>248</v>
      </c>
      <c r="K137" s="55" t="s">
        <v>29</v>
      </c>
      <c r="L137" s="9" t="s">
        <v>252</v>
      </c>
      <c r="M137" s="9" t="s">
        <v>30</v>
      </c>
      <c r="N137" s="273">
        <v>73837.16</v>
      </c>
      <c r="O137" s="273">
        <v>73837.16</v>
      </c>
      <c r="P137" s="273">
        <v>62931</v>
      </c>
      <c r="Q137" s="273">
        <v>36000</v>
      </c>
      <c r="R137" s="273">
        <v>36000</v>
      </c>
      <c r="S137" s="273">
        <v>36000</v>
      </c>
    </row>
    <row r="138" spans="1:20" ht="120" x14ac:dyDescent="0.25">
      <c r="A138" s="298"/>
      <c r="B138" s="297"/>
      <c r="C138" s="298"/>
      <c r="D138" s="287"/>
      <c r="E138" s="297"/>
      <c r="F138" s="297"/>
      <c r="G138" s="302"/>
      <c r="H138" s="297"/>
      <c r="I138" s="297"/>
      <c r="J138" s="297"/>
      <c r="K138" s="55" t="s">
        <v>250</v>
      </c>
      <c r="L138" s="9"/>
      <c r="M138" s="9" t="s">
        <v>251</v>
      </c>
      <c r="N138" s="275"/>
      <c r="O138" s="275"/>
      <c r="P138" s="275"/>
      <c r="Q138" s="275"/>
      <c r="R138" s="275"/>
      <c r="S138" s="275"/>
    </row>
    <row r="139" spans="1:20" ht="75" x14ac:dyDescent="0.25">
      <c r="A139" s="277"/>
      <c r="B139" s="280"/>
      <c r="C139" s="277"/>
      <c r="D139" s="288"/>
      <c r="E139" s="280"/>
      <c r="F139" s="280"/>
      <c r="G139" s="303"/>
      <c r="H139" s="280"/>
      <c r="I139" s="280"/>
      <c r="J139" s="280"/>
      <c r="K139" s="55" t="s">
        <v>496</v>
      </c>
      <c r="L139" s="9"/>
      <c r="M139" s="16">
        <v>44253</v>
      </c>
      <c r="N139" s="274"/>
      <c r="O139" s="274"/>
      <c r="P139" s="274"/>
      <c r="Q139" s="274"/>
      <c r="R139" s="274"/>
      <c r="S139" s="274"/>
    </row>
    <row r="140" spans="1:20" ht="90" x14ac:dyDescent="0.25">
      <c r="A140" s="276">
        <v>2538</v>
      </c>
      <c r="B140" s="279" t="s">
        <v>253</v>
      </c>
      <c r="C140" s="276">
        <v>909</v>
      </c>
      <c r="D140" s="286" t="s">
        <v>254</v>
      </c>
      <c r="E140" s="9" t="s">
        <v>20</v>
      </c>
      <c r="F140" s="9" t="s">
        <v>255</v>
      </c>
      <c r="G140" s="16" t="s">
        <v>91</v>
      </c>
      <c r="H140" s="9" t="s">
        <v>259</v>
      </c>
      <c r="I140" s="9" t="s">
        <v>48</v>
      </c>
      <c r="J140" s="9" t="s">
        <v>260</v>
      </c>
      <c r="K140" s="55" t="s">
        <v>29</v>
      </c>
      <c r="L140" s="9" t="s">
        <v>263</v>
      </c>
      <c r="M140" s="9" t="s">
        <v>30</v>
      </c>
      <c r="N140" s="304">
        <v>1520629.24</v>
      </c>
      <c r="O140" s="304">
        <v>1519508.51</v>
      </c>
      <c r="P140" s="273">
        <f>2499216.33+638090</f>
        <v>3137306.33</v>
      </c>
      <c r="Q140" s="273">
        <f>1500000+848440</f>
        <v>2348440</v>
      </c>
      <c r="R140" s="273">
        <f>1500000+335330</f>
        <v>1835330</v>
      </c>
      <c r="S140" s="350">
        <v>700000</v>
      </c>
      <c r="T140" s="211"/>
    </row>
    <row r="141" spans="1:20" ht="120" x14ac:dyDescent="0.25">
      <c r="A141" s="298"/>
      <c r="B141" s="297"/>
      <c r="C141" s="298"/>
      <c r="D141" s="287"/>
      <c r="E141" s="9"/>
      <c r="F141" s="9"/>
      <c r="G141" s="16"/>
      <c r="H141" s="9"/>
      <c r="I141" s="9"/>
      <c r="J141" s="9"/>
      <c r="K141" s="55" t="s">
        <v>261</v>
      </c>
      <c r="L141" s="9"/>
      <c r="M141" s="9" t="s">
        <v>262</v>
      </c>
      <c r="N141" s="305"/>
      <c r="O141" s="305"/>
      <c r="P141" s="275"/>
      <c r="Q141" s="275"/>
      <c r="R141" s="275"/>
      <c r="S141" s="351"/>
      <c r="T141" s="211"/>
    </row>
    <row r="142" spans="1:20" ht="90" x14ac:dyDescent="0.25">
      <c r="A142" s="277"/>
      <c r="B142" s="280"/>
      <c r="C142" s="277"/>
      <c r="D142" s="288"/>
      <c r="E142" s="9" t="s">
        <v>256</v>
      </c>
      <c r="F142" s="9" t="s">
        <v>257</v>
      </c>
      <c r="G142" s="9" t="s">
        <v>258</v>
      </c>
      <c r="H142" s="9"/>
      <c r="I142" s="9"/>
      <c r="J142" s="9"/>
      <c r="K142" s="55" t="s">
        <v>564</v>
      </c>
      <c r="L142" s="9"/>
      <c r="M142" s="9" t="s">
        <v>562</v>
      </c>
      <c r="N142" s="306"/>
      <c r="O142" s="306"/>
      <c r="P142" s="274"/>
      <c r="Q142" s="274"/>
      <c r="R142" s="274"/>
      <c r="S142" s="352"/>
      <c r="T142" s="211"/>
    </row>
    <row r="143" spans="1:20" ht="90" x14ac:dyDescent="0.25">
      <c r="A143" s="276">
        <v>2539</v>
      </c>
      <c r="B143" s="279" t="s">
        <v>583</v>
      </c>
      <c r="C143" s="276">
        <v>909</v>
      </c>
      <c r="D143" s="286" t="s">
        <v>415</v>
      </c>
      <c r="E143" s="9" t="s">
        <v>20</v>
      </c>
      <c r="F143" s="9" t="s">
        <v>264</v>
      </c>
      <c r="G143" s="16" t="s">
        <v>91</v>
      </c>
      <c r="H143" s="9" t="s">
        <v>271</v>
      </c>
      <c r="I143" s="9" t="s">
        <v>48</v>
      </c>
      <c r="J143" s="9" t="s">
        <v>272</v>
      </c>
      <c r="K143" s="55" t="s">
        <v>29</v>
      </c>
      <c r="L143" s="9" t="s">
        <v>273</v>
      </c>
      <c r="M143" s="9" t="s">
        <v>30</v>
      </c>
      <c r="N143" s="273">
        <v>7931560</v>
      </c>
      <c r="O143" s="273">
        <v>5512434.2000000002</v>
      </c>
      <c r="P143" s="273">
        <v>4800000</v>
      </c>
      <c r="Q143" s="273">
        <v>0</v>
      </c>
      <c r="R143" s="273">
        <v>0</v>
      </c>
      <c r="S143" s="273">
        <v>0</v>
      </c>
    </row>
    <row r="144" spans="1:20" ht="120" x14ac:dyDescent="0.25">
      <c r="A144" s="298"/>
      <c r="B144" s="297"/>
      <c r="C144" s="298"/>
      <c r="D144" s="287"/>
      <c r="E144" s="9" t="s">
        <v>265</v>
      </c>
      <c r="F144" s="9" t="s">
        <v>266</v>
      </c>
      <c r="G144" s="9" t="s">
        <v>267</v>
      </c>
      <c r="H144" s="9"/>
      <c r="I144" s="9"/>
      <c r="J144" s="9"/>
      <c r="K144" s="55" t="s">
        <v>274</v>
      </c>
      <c r="L144" s="9"/>
      <c r="M144" s="9" t="s">
        <v>275</v>
      </c>
      <c r="N144" s="275"/>
      <c r="O144" s="275"/>
      <c r="P144" s="275"/>
      <c r="Q144" s="275"/>
      <c r="R144" s="275"/>
      <c r="S144" s="275"/>
    </row>
    <row r="145" spans="1:19" ht="60" x14ac:dyDescent="0.25">
      <c r="A145" s="277"/>
      <c r="B145" s="280"/>
      <c r="C145" s="277"/>
      <c r="D145" s="288"/>
      <c r="E145" s="9" t="s">
        <v>268</v>
      </c>
      <c r="F145" s="9" t="s">
        <v>269</v>
      </c>
      <c r="G145" s="9" t="s">
        <v>270</v>
      </c>
      <c r="H145" s="9"/>
      <c r="I145" s="9"/>
      <c r="J145" s="9"/>
      <c r="K145" s="55"/>
      <c r="L145" s="9"/>
      <c r="M145" s="9"/>
      <c r="N145" s="274"/>
      <c r="O145" s="274"/>
      <c r="P145" s="274"/>
      <c r="Q145" s="274"/>
      <c r="R145" s="274"/>
      <c r="S145" s="274"/>
    </row>
    <row r="146" spans="1:19" ht="90" x14ac:dyDescent="0.25">
      <c r="A146" s="276" t="s">
        <v>482</v>
      </c>
      <c r="B146" s="279" t="s">
        <v>584</v>
      </c>
      <c r="C146" s="276">
        <v>909</v>
      </c>
      <c r="D146" s="286" t="s">
        <v>254</v>
      </c>
      <c r="E146" s="9" t="s">
        <v>20</v>
      </c>
      <c r="F146" s="9" t="s">
        <v>277</v>
      </c>
      <c r="G146" s="9" t="s">
        <v>91</v>
      </c>
      <c r="H146" s="9"/>
      <c r="I146" s="9"/>
      <c r="J146" s="9"/>
      <c r="K146" s="55" t="s">
        <v>29</v>
      </c>
      <c r="L146" s="9" t="s">
        <v>278</v>
      </c>
      <c r="M146" s="9" t="s">
        <v>30</v>
      </c>
      <c r="N146" s="273">
        <f>318047512.55-N140+5551362</f>
        <v>322078245.31</v>
      </c>
      <c r="O146" s="273">
        <f>301516025.53-O140+5551362</f>
        <v>305547879.01999998</v>
      </c>
      <c r="P146" s="273">
        <f>218887997.36+2700805.96-P140</f>
        <v>218451496.99000001</v>
      </c>
      <c r="Q146" s="273">
        <f>87497374.99+2000000-Q140</f>
        <v>87148934.989999995</v>
      </c>
      <c r="R146" s="273">
        <f>89867066.19-R140+2000000</f>
        <v>90031736.189999998</v>
      </c>
      <c r="S146" s="350">
        <v>52193062</v>
      </c>
    </row>
    <row r="147" spans="1:19" ht="126" customHeight="1" x14ac:dyDescent="0.25">
      <c r="A147" s="298"/>
      <c r="B147" s="297"/>
      <c r="C147" s="298"/>
      <c r="D147" s="287"/>
      <c r="E147" s="9"/>
      <c r="F147" s="9"/>
      <c r="G147" s="9"/>
      <c r="H147" s="9"/>
      <c r="I147" s="9"/>
      <c r="J147" s="9"/>
      <c r="K147" s="155" t="s">
        <v>447</v>
      </c>
      <c r="L147" s="141"/>
      <c r="M147" s="141" t="s">
        <v>448</v>
      </c>
      <c r="N147" s="275"/>
      <c r="O147" s="275"/>
      <c r="P147" s="275"/>
      <c r="Q147" s="275"/>
      <c r="R147" s="275"/>
      <c r="S147" s="351"/>
    </row>
    <row r="148" spans="1:19" ht="105" x14ac:dyDescent="0.25">
      <c r="A148" s="152"/>
      <c r="B148" s="153"/>
      <c r="C148" s="152"/>
      <c r="D148" s="154"/>
      <c r="E148" s="9"/>
      <c r="F148" s="9"/>
      <c r="G148" s="9"/>
      <c r="H148" s="9"/>
      <c r="I148" s="9"/>
      <c r="J148" s="9"/>
      <c r="K148" s="155" t="s">
        <v>477</v>
      </c>
      <c r="L148" s="141"/>
      <c r="M148" s="141" t="s">
        <v>478</v>
      </c>
      <c r="N148" s="181"/>
      <c r="O148" s="181"/>
      <c r="P148" s="181"/>
      <c r="Q148" s="181"/>
      <c r="R148" s="181"/>
      <c r="S148" s="181"/>
    </row>
    <row r="149" spans="1:19" ht="225" x14ac:dyDescent="0.25">
      <c r="A149" s="143"/>
      <c r="B149" s="145"/>
      <c r="C149" s="143"/>
      <c r="D149" s="144"/>
      <c r="E149" s="9"/>
      <c r="F149" s="9"/>
      <c r="G149" s="9"/>
      <c r="H149" s="9"/>
      <c r="I149" s="9"/>
      <c r="J149" s="9"/>
      <c r="K149" s="155" t="s">
        <v>456</v>
      </c>
      <c r="L149" s="141"/>
      <c r="M149" s="146">
        <v>44216</v>
      </c>
      <c r="N149" s="181"/>
      <c r="O149" s="181"/>
      <c r="P149" s="181"/>
      <c r="Q149" s="181"/>
      <c r="R149" s="181"/>
      <c r="S149" s="181"/>
    </row>
    <row r="150" spans="1:19" ht="105" x14ac:dyDescent="0.25">
      <c r="A150" s="143"/>
      <c r="B150" s="145"/>
      <c r="C150" s="143"/>
      <c r="D150" s="144"/>
      <c r="E150" s="9"/>
      <c r="F150" s="9"/>
      <c r="G150" s="9"/>
      <c r="H150" s="9"/>
      <c r="I150" s="9"/>
      <c r="J150" s="9"/>
      <c r="K150" s="155" t="s">
        <v>457</v>
      </c>
      <c r="L150" s="141"/>
      <c r="M150" s="146">
        <v>44216</v>
      </c>
      <c r="N150" s="181"/>
      <c r="O150" s="181"/>
      <c r="P150" s="181"/>
      <c r="Q150" s="181"/>
      <c r="R150" s="181"/>
      <c r="S150" s="181"/>
    </row>
    <row r="151" spans="1:19" s="20" customFormat="1" ht="114" x14ac:dyDescent="0.2">
      <c r="A151" s="66">
        <v>2600</v>
      </c>
      <c r="B151" s="25" t="s">
        <v>490</v>
      </c>
      <c r="C151" s="15"/>
      <c r="D151" s="23"/>
      <c r="E151" s="15"/>
      <c r="F151" s="15"/>
      <c r="G151" s="15"/>
      <c r="H151" s="15"/>
      <c r="I151" s="15"/>
      <c r="J151" s="15"/>
      <c r="K151" s="226"/>
      <c r="L151" s="15"/>
      <c r="M151" s="15"/>
      <c r="N151" s="185">
        <f t="shared" ref="N151:S151" si="22">N152+N154</f>
        <v>34691793</v>
      </c>
      <c r="O151" s="185">
        <f t="shared" si="22"/>
        <v>34630873.200000003</v>
      </c>
      <c r="P151" s="185">
        <f t="shared" si="22"/>
        <v>32218301</v>
      </c>
      <c r="Q151" s="185">
        <f t="shared" si="22"/>
        <v>28721621</v>
      </c>
      <c r="R151" s="185">
        <f t="shared" si="22"/>
        <v>28986421</v>
      </c>
      <c r="S151" s="185">
        <f t="shared" si="22"/>
        <v>29019951</v>
      </c>
    </row>
    <row r="152" spans="1:19" ht="90" x14ac:dyDescent="0.25">
      <c r="A152" s="276" t="s">
        <v>480</v>
      </c>
      <c r="B152" s="279" t="s">
        <v>585</v>
      </c>
      <c r="C152" s="276">
        <v>909</v>
      </c>
      <c r="D152" s="286" t="s">
        <v>207</v>
      </c>
      <c r="E152" s="9" t="s">
        <v>20</v>
      </c>
      <c r="F152" s="9" t="s">
        <v>33</v>
      </c>
      <c r="G152" s="8" t="s">
        <v>21</v>
      </c>
      <c r="H152" s="9" t="s">
        <v>24</v>
      </c>
      <c r="I152" s="10" t="s">
        <v>25</v>
      </c>
      <c r="J152" s="8" t="s">
        <v>26</v>
      </c>
      <c r="K152" s="55" t="s">
        <v>29</v>
      </c>
      <c r="L152" s="4"/>
      <c r="M152" s="9" t="s">
        <v>30</v>
      </c>
      <c r="N152" s="295">
        <f>11797991.86-50000</f>
        <v>11747991.859999999</v>
      </c>
      <c r="O152" s="295">
        <f>11768593.8-50000</f>
        <v>11718593.800000001</v>
      </c>
      <c r="P152" s="273">
        <v>10828680</v>
      </c>
      <c r="Q152" s="273">
        <v>9909499</v>
      </c>
      <c r="R152" s="273">
        <v>10174299</v>
      </c>
      <c r="S152" s="273">
        <v>10207829</v>
      </c>
    </row>
    <row r="153" spans="1:19" ht="285" x14ac:dyDescent="0.25">
      <c r="A153" s="277"/>
      <c r="B153" s="280"/>
      <c r="C153" s="277"/>
      <c r="D153" s="288"/>
      <c r="E153" s="8" t="s">
        <v>22</v>
      </c>
      <c r="F153" s="6" t="s">
        <v>25</v>
      </c>
      <c r="G153" s="8" t="s">
        <v>23</v>
      </c>
      <c r="H153" s="9" t="s">
        <v>27</v>
      </c>
      <c r="I153" s="10" t="s">
        <v>25</v>
      </c>
      <c r="J153" s="9" t="s">
        <v>28</v>
      </c>
      <c r="K153" s="55" t="s">
        <v>426</v>
      </c>
      <c r="L153" s="9"/>
      <c r="M153" s="9" t="s">
        <v>427</v>
      </c>
      <c r="N153" s="296"/>
      <c r="O153" s="296"/>
      <c r="P153" s="274"/>
      <c r="Q153" s="274"/>
      <c r="R153" s="274"/>
      <c r="S153" s="274"/>
    </row>
    <row r="154" spans="1:19" ht="90" x14ac:dyDescent="0.25">
      <c r="A154" s="276">
        <v>2608</v>
      </c>
      <c r="B154" s="279" t="s">
        <v>364</v>
      </c>
      <c r="C154" s="276">
        <v>909</v>
      </c>
      <c r="D154" s="286" t="s">
        <v>207</v>
      </c>
      <c r="E154" s="9" t="s">
        <v>20</v>
      </c>
      <c r="F154" s="9" t="s">
        <v>35</v>
      </c>
      <c r="G154" s="9" t="s">
        <v>21</v>
      </c>
      <c r="H154" s="12"/>
      <c r="I154" s="9"/>
      <c r="J154" s="9"/>
      <c r="K154" s="229" t="s">
        <v>208</v>
      </c>
      <c r="L154" s="9"/>
      <c r="M154" s="9" t="s">
        <v>209</v>
      </c>
      <c r="N154" s="273">
        <f>23343801.14-400000</f>
        <v>22943801.140000001</v>
      </c>
      <c r="O154" s="273">
        <f>23312279.4-400000</f>
        <v>22912279.399999999</v>
      </c>
      <c r="P154" s="353">
        <v>21389621</v>
      </c>
      <c r="Q154" s="273">
        <v>18812122</v>
      </c>
      <c r="R154" s="273">
        <v>18812122</v>
      </c>
      <c r="S154" s="273">
        <v>18812122</v>
      </c>
    </row>
    <row r="155" spans="1:19" ht="30" x14ac:dyDescent="0.25">
      <c r="A155" s="277"/>
      <c r="B155" s="280"/>
      <c r="C155" s="277"/>
      <c r="D155" s="288"/>
      <c r="E155" s="9"/>
      <c r="F155" s="9"/>
      <c r="G155" s="9"/>
      <c r="H155" s="9"/>
      <c r="I155" s="9"/>
      <c r="J155" s="9"/>
      <c r="K155" s="55" t="s">
        <v>29</v>
      </c>
      <c r="L155" s="6" t="s">
        <v>36</v>
      </c>
      <c r="M155" s="9" t="s">
        <v>37</v>
      </c>
      <c r="N155" s="274"/>
      <c r="O155" s="274"/>
      <c r="P155" s="354"/>
      <c r="Q155" s="274"/>
      <c r="R155" s="274"/>
      <c r="S155" s="274"/>
    </row>
    <row r="156" spans="1:19" s="20" customFormat="1" ht="42.75" x14ac:dyDescent="0.2">
      <c r="A156" s="86">
        <v>3200</v>
      </c>
      <c r="B156" s="88" t="s">
        <v>571</v>
      </c>
      <c r="C156" s="15"/>
      <c r="D156" s="23"/>
      <c r="E156" s="15"/>
      <c r="F156" s="15"/>
      <c r="G156" s="15"/>
      <c r="H156" s="15"/>
      <c r="I156" s="15"/>
      <c r="J156" s="15"/>
      <c r="K156" s="226"/>
      <c r="L156" s="15"/>
      <c r="M156" s="15"/>
      <c r="N156" s="185">
        <f>N159+N161</f>
        <v>15213600</v>
      </c>
      <c r="O156" s="185">
        <f>O159+O161</f>
        <v>10995371.98</v>
      </c>
      <c r="P156" s="185">
        <f>P159+P161+P157+P158</f>
        <v>25426760</v>
      </c>
      <c r="Q156" s="185">
        <f>Q159+Q161+Q157</f>
        <v>9325200</v>
      </c>
      <c r="R156" s="185">
        <f>R159+R161+R157</f>
        <v>9325200</v>
      </c>
      <c r="S156" s="185">
        <f>S159+S161+S157</f>
        <v>9325200</v>
      </c>
    </row>
    <row r="157" spans="1:19" ht="210" x14ac:dyDescent="0.25">
      <c r="A157" s="240">
        <v>3118</v>
      </c>
      <c r="B157" s="243" t="s">
        <v>586</v>
      </c>
      <c r="C157" s="240">
        <v>909</v>
      </c>
      <c r="D157" s="247" t="s">
        <v>519</v>
      </c>
      <c r="E157" s="268" t="s">
        <v>61</v>
      </c>
      <c r="F157" s="269" t="s">
        <v>279</v>
      </c>
      <c r="G157" s="269" t="s">
        <v>63</v>
      </c>
      <c r="H157" s="167" t="s">
        <v>520</v>
      </c>
      <c r="I157" s="243" t="s">
        <v>48</v>
      </c>
      <c r="J157" s="243" t="s">
        <v>521</v>
      </c>
      <c r="K157" s="270"/>
      <c r="L157" s="9"/>
      <c r="M157" s="9"/>
      <c r="N157" s="182"/>
      <c r="O157" s="182"/>
      <c r="P157" s="182">
        <v>3168200</v>
      </c>
      <c r="Q157" s="182">
        <v>0</v>
      </c>
      <c r="R157" s="182">
        <v>0</v>
      </c>
      <c r="S157" s="182">
        <v>0</v>
      </c>
    </row>
    <row r="158" spans="1:19" ht="210" x14ac:dyDescent="0.25">
      <c r="A158" s="11" t="s">
        <v>602</v>
      </c>
      <c r="B158" s="9" t="s">
        <v>603</v>
      </c>
      <c r="C158" s="11">
        <v>909</v>
      </c>
      <c r="D158" s="18" t="s">
        <v>207</v>
      </c>
      <c r="E158" s="268" t="s">
        <v>61</v>
      </c>
      <c r="F158" s="269" t="s">
        <v>279</v>
      </c>
      <c r="G158" s="269" t="s">
        <v>63</v>
      </c>
      <c r="H158" s="268" t="s">
        <v>520</v>
      </c>
      <c r="I158" s="269" t="s">
        <v>48</v>
      </c>
      <c r="J158" s="269" t="s">
        <v>521</v>
      </c>
      <c r="K158" s="55"/>
      <c r="L158" s="9"/>
      <c r="M158" s="9"/>
      <c r="N158" s="267"/>
      <c r="O158" s="267"/>
      <c r="P158" s="267">
        <v>17500</v>
      </c>
      <c r="Q158" s="267"/>
      <c r="R158" s="267"/>
      <c r="S158" s="267"/>
    </row>
    <row r="159" spans="1:19" ht="101.25" customHeight="1" x14ac:dyDescent="0.25">
      <c r="A159" s="239">
        <v>3260</v>
      </c>
      <c r="B159" s="242" t="s">
        <v>587</v>
      </c>
      <c r="C159" s="239">
        <v>909</v>
      </c>
      <c r="D159" s="245" t="s">
        <v>211</v>
      </c>
      <c r="E159" s="279" t="s">
        <v>61</v>
      </c>
      <c r="F159" s="254" t="s">
        <v>279</v>
      </c>
      <c r="G159" s="242" t="s">
        <v>63</v>
      </c>
      <c r="H159" s="279" t="s">
        <v>280</v>
      </c>
      <c r="I159" s="254" t="s">
        <v>48</v>
      </c>
      <c r="J159" s="242" t="s">
        <v>281</v>
      </c>
      <c r="K159" s="55" t="s">
        <v>400</v>
      </c>
      <c r="L159" s="9"/>
      <c r="M159" s="9" t="s">
        <v>509</v>
      </c>
      <c r="N159" s="273">
        <v>13055900</v>
      </c>
      <c r="O159" s="273">
        <v>8837715.9800000004</v>
      </c>
      <c r="P159" s="273">
        <v>18964300</v>
      </c>
      <c r="Q159" s="273">
        <v>7095100</v>
      </c>
      <c r="R159" s="273">
        <v>7095100</v>
      </c>
      <c r="S159" s="273">
        <v>7095100</v>
      </c>
    </row>
    <row r="160" spans="1:19" ht="163.5" customHeight="1" x14ac:dyDescent="0.25">
      <c r="A160" s="249"/>
      <c r="B160" s="244"/>
      <c r="C160" s="241"/>
      <c r="D160" s="246"/>
      <c r="E160" s="280"/>
      <c r="F160" s="244"/>
      <c r="G160" s="244"/>
      <c r="H160" s="280"/>
      <c r="I160" s="244"/>
      <c r="J160" s="244"/>
      <c r="K160" s="234" t="s">
        <v>547</v>
      </c>
      <c r="L160" s="9"/>
      <c r="M160" s="9" t="s">
        <v>548</v>
      </c>
      <c r="N160" s="274"/>
      <c r="O160" s="274"/>
      <c r="P160" s="274"/>
      <c r="Q160" s="274"/>
      <c r="R160" s="274"/>
      <c r="S160" s="274"/>
    </row>
    <row r="161" spans="1:19" ht="105" x14ac:dyDescent="0.25">
      <c r="A161" s="276">
        <v>3254</v>
      </c>
      <c r="B161" s="279" t="s">
        <v>370</v>
      </c>
      <c r="C161" s="276">
        <v>909</v>
      </c>
      <c r="D161" s="286" t="s">
        <v>429</v>
      </c>
      <c r="E161" s="279" t="s">
        <v>61</v>
      </c>
      <c r="F161" s="279" t="s">
        <v>282</v>
      </c>
      <c r="G161" s="276" t="s">
        <v>63</v>
      </c>
      <c r="H161" s="279" t="s">
        <v>283</v>
      </c>
      <c r="I161" s="279" t="s">
        <v>48</v>
      </c>
      <c r="J161" s="279" t="s">
        <v>284</v>
      </c>
      <c r="K161" s="55" t="s">
        <v>401</v>
      </c>
      <c r="L161" s="9"/>
      <c r="M161" s="9" t="s">
        <v>402</v>
      </c>
      <c r="N161" s="273">
        <v>2157700</v>
      </c>
      <c r="O161" s="273">
        <v>2157656</v>
      </c>
      <c r="P161" s="273">
        <f>192260+3084500</f>
        <v>3276760</v>
      </c>
      <c r="Q161" s="273">
        <f>169000+2061100</f>
        <v>2230100</v>
      </c>
      <c r="R161" s="273">
        <v>2230100</v>
      </c>
      <c r="S161" s="273">
        <v>2230100</v>
      </c>
    </row>
    <row r="162" spans="1:19" x14ac:dyDescent="0.25">
      <c r="A162" s="320"/>
      <c r="B162" s="349"/>
      <c r="C162" s="320"/>
      <c r="D162" s="288"/>
      <c r="E162" s="280"/>
      <c r="F162" s="280"/>
      <c r="G162" s="277"/>
      <c r="H162" s="280"/>
      <c r="I162" s="280"/>
      <c r="J162" s="280"/>
      <c r="K162" s="55"/>
      <c r="L162" s="9"/>
      <c r="M162" s="9"/>
      <c r="N162" s="274"/>
      <c r="O162" s="274"/>
      <c r="P162" s="274"/>
      <c r="Q162" s="274"/>
      <c r="R162" s="274"/>
      <c r="S162" s="274"/>
    </row>
    <row r="163" spans="1:19" s="20" customFormat="1" ht="42.75" x14ac:dyDescent="0.2">
      <c r="A163" s="27"/>
      <c r="B163" s="26" t="s">
        <v>285</v>
      </c>
      <c r="C163" s="27">
        <v>911</v>
      </c>
      <c r="D163" s="28"/>
      <c r="E163" s="26"/>
      <c r="F163" s="26"/>
      <c r="G163" s="26"/>
      <c r="H163" s="26"/>
      <c r="I163" s="26"/>
      <c r="J163" s="26"/>
      <c r="K163" s="230"/>
      <c r="L163" s="26"/>
      <c r="M163" s="26"/>
      <c r="N163" s="194">
        <f t="shared" ref="N163:S163" si="23">N164+N180</f>
        <v>148223976.16999999</v>
      </c>
      <c r="O163" s="194">
        <f t="shared" si="23"/>
        <v>146615051.19999999</v>
      </c>
      <c r="P163" s="194">
        <f t="shared" si="23"/>
        <v>199462021.03999999</v>
      </c>
      <c r="Q163" s="194">
        <f t="shared" si="23"/>
        <v>126548340</v>
      </c>
      <c r="R163" s="194">
        <f t="shared" si="23"/>
        <v>125752143</v>
      </c>
      <c r="S163" s="194">
        <f t="shared" si="23"/>
        <v>125752143</v>
      </c>
    </row>
    <row r="164" spans="1:19" s="20" customFormat="1" ht="57" x14ac:dyDescent="0.2">
      <c r="A164" s="82">
        <v>2500</v>
      </c>
      <c r="B164" s="90" t="s">
        <v>489</v>
      </c>
      <c r="C164" s="15"/>
      <c r="D164" s="23"/>
      <c r="E164" s="15"/>
      <c r="F164" s="15"/>
      <c r="G164" s="15"/>
      <c r="H164" s="15"/>
      <c r="I164" s="15"/>
      <c r="J164" s="15"/>
      <c r="K164" s="226"/>
      <c r="L164" s="15"/>
      <c r="M164" s="15"/>
      <c r="N164" s="185">
        <f>N165+N175+N171+N172</f>
        <v>116668521.28999999</v>
      </c>
      <c r="O164" s="185">
        <f t="shared" ref="O164:S164" si="24">O165+O175+O171+O172</f>
        <v>115118008.05</v>
      </c>
      <c r="P164" s="185">
        <f t="shared" si="24"/>
        <v>162642610.03999999</v>
      </c>
      <c r="Q164" s="185">
        <f t="shared" si="24"/>
        <v>94967980</v>
      </c>
      <c r="R164" s="185">
        <f t="shared" si="24"/>
        <v>94324283</v>
      </c>
      <c r="S164" s="185">
        <f t="shared" si="24"/>
        <v>94260283</v>
      </c>
    </row>
    <row r="165" spans="1:19" ht="90" x14ac:dyDescent="0.25">
      <c r="A165" s="276">
        <v>2534</v>
      </c>
      <c r="B165" s="279" t="s">
        <v>588</v>
      </c>
      <c r="C165" s="276">
        <v>911</v>
      </c>
      <c r="D165" s="286" t="s">
        <v>299</v>
      </c>
      <c r="E165" s="9" t="s">
        <v>20</v>
      </c>
      <c r="F165" s="9" t="s">
        <v>300</v>
      </c>
      <c r="G165" s="9" t="s">
        <v>91</v>
      </c>
      <c r="H165" s="9"/>
      <c r="I165" s="9"/>
      <c r="J165" s="9"/>
      <c r="K165" s="55" t="s">
        <v>29</v>
      </c>
      <c r="L165" s="9" t="s">
        <v>168</v>
      </c>
      <c r="M165" s="9" t="s">
        <v>30</v>
      </c>
      <c r="N165" s="273">
        <f>90995820.17-N171</f>
        <v>90762965.170000002</v>
      </c>
      <c r="O165" s="273">
        <f>89799285.5-O171</f>
        <v>89566430.5</v>
      </c>
      <c r="P165" s="273">
        <f>92441637-P171</f>
        <v>92208782</v>
      </c>
      <c r="Q165" s="273">
        <f>75256004-Q171</f>
        <v>75023149</v>
      </c>
      <c r="R165" s="273">
        <f>74812307-R171</f>
        <v>74579452</v>
      </c>
      <c r="S165" s="273">
        <f>74812307-S171</f>
        <v>74579452</v>
      </c>
    </row>
    <row r="166" spans="1:19" ht="60" x14ac:dyDescent="0.25">
      <c r="A166" s="298"/>
      <c r="B166" s="297"/>
      <c r="C166" s="298"/>
      <c r="D166" s="287"/>
      <c r="E166" s="9"/>
      <c r="F166" s="9"/>
      <c r="G166" s="9"/>
      <c r="H166" s="9"/>
      <c r="I166" s="9"/>
      <c r="J166" s="9"/>
      <c r="K166" s="55" t="s">
        <v>458</v>
      </c>
      <c r="L166" s="55"/>
      <c r="M166" s="149" t="s">
        <v>461</v>
      </c>
      <c r="N166" s="275"/>
      <c r="O166" s="275"/>
      <c r="P166" s="275"/>
      <c r="Q166" s="275"/>
      <c r="R166" s="275"/>
      <c r="S166" s="275"/>
    </row>
    <row r="167" spans="1:19" ht="165" x14ac:dyDescent="0.25">
      <c r="A167" s="277"/>
      <c r="B167" s="280"/>
      <c r="C167" s="277"/>
      <c r="D167" s="288"/>
      <c r="E167" s="98"/>
      <c r="F167" s="98"/>
      <c r="G167" s="98"/>
      <c r="H167" s="9"/>
      <c r="I167" s="9"/>
      <c r="J167" s="9"/>
      <c r="K167" s="55" t="s">
        <v>459</v>
      </c>
      <c r="L167" s="9"/>
      <c r="M167" s="9" t="s">
        <v>460</v>
      </c>
      <c r="N167" s="181"/>
      <c r="O167" s="181"/>
      <c r="P167" s="181"/>
      <c r="Q167" s="181"/>
      <c r="R167" s="181"/>
      <c r="S167" s="181"/>
    </row>
    <row r="168" spans="1:19" ht="105" x14ac:dyDescent="0.25">
      <c r="A168" s="171"/>
      <c r="B168" s="170"/>
      <c r="C168" s="171"/>
      <c r="D168" s="172"/>
      <c r="E168" s="169"/>
      <c r="F168" s="169"/>
      <c r="G168" s="169"/>
      <c r="H168" s="9"/>
      <c r="I168" s="9"/>
      <c r="J168" s="9"/>
      <c r="K168" s="55" t="s">
        <v>501</v>
      </c>
      <c r="L168" s="9"/>
      <c r="M168" s="9" t="s">
        <v>502</v>
      </c>
      <c r="N168" s="181"/>
      <c r="O168" s="181"/>
      <c r="P168" s="181"/>
      <c r="Q168" s="181"/>
      <c r="R168" s="181"/>
      <c r="S168" s="181"/>
    </row>
    <row r="169" spans="1:19" ht="150" x14ac:dyDescent="0.25">
      <c r="A169" s="171"/>
      <c r="B169" s="170"/>
      <c r="C169" s="171"/>
      <c r="D169" s="172"/>
      <c r="E169" s="169"/>
      <c r="F169" s="169"/>
      <c r="G169" s="169"/>
      <c r="H169" s="9"/>
      <c r="I169" s="9"/>
      <c r="J169" s="9"/>
      <c r="K169" s="55" t="s">
        <v>503</v>
      </c>
      <c r="L169" s="9"/>
      <c r="M169" s="9" t="s">
        <v>504</v>
      </c>
      <c r="N169" s="181"/>
      <c r="O169" s="181"/>
      <c r="P169" s="181"/>
      <c r="Q169" s="181"/>
      <c r="R169" s="181"/>
      <c r="S169" s="181"/>
    </row>
    <row r="170" spans="1:19" ht="90" x14ac:dyDescent="0.25">
      <c r="A170" s="171"/>
      <c r="B170" s="170"/>
      <c r="C170" s="171"/>
      <c r="D170" s="172"/>
      <c r="E170" s="169"/>
      <c r="F170" s="169"/>
      <c r="G170" s="169"/>
      <c r="H170" s="9"/>
      <c r="I170" s="9"/>
      <c r="J170" s="9"/>
      <c r="K170" s="55" t="s">
        <v>505</v>
      </c>
      <c r="L170" s="9"/>
      <c r="M170" s="9" t="s">
        <v>504</v>
      </c>
      <c r="N170" s="181"/>
      <c r="O170" s="181"/>
      <c r="P170" s="181"/>
      <c r="Q170" s="181"/>
      <c r="R170" s="181"/>
      <c r="S170" s="181"/>
    </row>
    <row r="171" spans="1:19" ht="165" x14ac:dyDescent="0.25">
      <c r="A171" s="11">
        <v>2535</v>
      </c>
      <c r="B171" s="9" t="s">
        <v>493</v>
      </c>
      <c r="C171" s="11">
        <v>911</v>
      </c>
      <c r="D171" s="18" t="s">
        <v>299</v>
      </c>
      <c r="E171" s="9" t="s">
        <v>301</v>
      </c>
      <c r="F171" s="9" t="s">
        <v>302</v>
      </c>
      <c r="G171" s="9" t="s">
        <v>303</v>
      </c>
      <c r="H171" s="9"/>
      <c r="I171" s="9"/>
      <c r="J171" s="9"/>
      <c r="K171" s="55" t="s">
        <v>352</v>
      </c>
      <c r="L171" s="9"/>
      <c r="M171" s="9" t="s">
        <v>353</v>
      </c>
      <c r="N171" s="186">
        <v>232855</v>
      </c>
      <c r="O171" s="186">
        <v>232855</v>
      </c>
      <c r="P171" s="186">
        <v>232855</v>
      </c>
      <c r="Q171" s="186">
        <v>232855</v>
      </c>
      <c r="R171" s="186">
        <v>232855</v>
      </c>
      <c r="S171" s="186">
        <v>232855</v>
      </c>
    </row>
    <row r="172" spans="1:19" ht="135" x14ac:dyDescent="0.25">
      <c r="A172" s="276">
        <v>2554</v>
      </c>
      <c r="B172" s="279" t="s">
        <v>494</v>
      </c>
      <c r="C172" s="276">
        <v>911</v>
      </c>
      <c r="D172" s="286" t="s">
        <v>604</v>
      </c>
      <c r="E172" s="131" t="s">
        <v>20</v>
      </c>
      <c r="F172" s="131" t="s">
        <v>47</v>
      </c>
      <c r="G172" s="131" t="s">
        <v>91</v>
      </c>
      <c r="H172" s="9"/>
      <c r="I172" s="9"/>
      <c r="J172" s="9"/>
      <c r="K172" s="55" t="s">
        <v>462</v>
      </c>
      <c r="L172" s="9"/>
      <c r="M172" s="9" t="s">
        <v>384</v>
      </c>
      <c r="N172" s="273">
        <v>804593.32</v>
      </c>
      <c r="O172" s="273">
        <v>478193.32</v>
      </c>
      <c r="P172" s="273">
        <f>253997.04+511000</f>
        <v>764997.04</v>
      </c>
      <c r="Q172" s="273">
        <f>64000+511000</f>
        <v>575000</v>
      </c>
      <c r="R172" s="273">
        <f>64000+511000</f>
        <v>575000</v>
      </c>
      <c r="S172" s="273">
        <f>511000</f>
        <v>511000</v>
      </c>
    </row>
    <row r="173" spans="1:19" ht="135" x14ac:dyDescent="0.25">
      <c r="A173" s="298"/>
      <c r="B173" s="297"/>
      <c r="C173" s="298"/>
      <c r="D173" s="287"/>
      <c r="E173" s="151"/>
      <c r="F173" s="151"/>
      <c r="G173" s="151"/>
      <c r="H173" s="9"/>
      <c r="I173" s="9"/>
      <c r="J173" s="9"/>
      <c r="K173" s="55" t="s">
        <v>466</v>
      </c>
      <c r="L173" s="9"/>
      <c r="M173" s="9" t="s">
        <v>49</v>
      </c>
      <c r="N173" s="275"/>
      <c r="O173" s="275"/>
      <c r="P173" s="275"/>
      <c r="Q173" s="275"/>
      <c r="R173" s="275"/>
      <c r="S173" s="275"/>
    </row>
    <row r="174" spans="1:19" ht="135" x14ac:dyDescent="0.25">
      <c r="A174" s="277"/>
      <c r="B174" s="280"/>
      <c r="C174" s="277"/>
      <c r="D174" s="288"/>
      <c r="E174" s="151"/>
      <c r="F174" s="151"/>
      <c r="G174" s="151"/>
      <c r="H174" s="9"/>
      <c r="I174" s="9"/>
      <c r="J174" s="9"/>
      <c r="K174" s="55" t="s">
        <v>467</v>
      </c>
      <c r="L174" s="9"/>
      <c r="M174" s="9" t="s">
        <v>468</v>
      </c>
      <c r="N174" s="274"/>
      <c r="O174" s="274"/>
      <c r="P174" s="274"/>
      <c r="Q174" s="274"/>
      <c r="R174" s="274"/>
      <c r="S174" s="274"/>
    </row>
    <row r="175" spans="1:19" ht="75" x14ac:dyDescent="0.25">
      <c r="A175" s="276">
        <v>2555</v>
      </c>
      <c r="B175" s="276" t="s">
        <v>290</v>
      </c>
      <c r="C175" s="276">
        <v>911</v>
      </c>
      <c r="D175" s="286" t="s">
        <v>291</v>
      </c>
      <c r="E175" s="279" t="s">
        <v>20</v>
      </c>
      <c r="F175" s="279" t="s">
        <v>292</v>
      </c>
      <c r="G175" s="279" t="s">
        <v>91</v>
      </c>
      <c r="H175" s="9" t="s">
        <v>293</v>
      </c>
      <c r="I175" s="9" t="s">
        <v>294</v>
      </c>
      <c r="J175" s="9" t="s">
        <v>295</v>
      </c>
      <c r="K175" s="55" t="s">
        <v>29</v>
      </c>
      <c r="L175" s="9" t="s">
        <v>168</v>
      </c>
      <c r="M175" s="9" t="s">
        <v>30</v>
      </c>
      <c r="N175" s="273">
        <v>24868107.800000001</v>
      </c>
      <c r="O175" s="273">
        <v>24840529.23</v>
      </c>
      <c r="P175" s="273">
        <f>69946976-511000</f>
        <v>69435976</v>
      </c>
      <c r="Q175" s="273">
        <f>19647976-511000</f>
        <v>19136976</v>
      </c>
      <c r="R175" s="273">
        <f>19447976-511000</f>
        <v>18936976</v>
      </c>
      <c r="S175" s="273">
        <f>19447976-511000</f>
        <v>18936976</v>
      </c>
    </row>
    <row r="176" spans="1:19" ht="30" x14ac:dyDescent="0.25">
      <c r="A176" s="298"/>
      <c r="B176" s="298"/>
      <c r="C176" s="298"/>
      <c r="D176" s="287"/>
      <c r="E176" s="297"/>
      <c r="F176" s="297"/>
      <c r="G176" s="297"/>
      <c r="H176" s="9"/>
      <c r="I176" s="9"/>
      <c r="J176" s="9"/>
      <c r="K176" s="127" t="s">
        <v>359</v>
      </c>
      <c r="L176" s="9"/>
      <c r="M176" s="9" t="s">
        <v>358</v>
      </c>
      <c r="N176" s="275"/>
      <c r="O176" s="275"/>
      <c r="P176" s="275"/>
      <c r="Q176" s="275"/>
      <c r="R176" s="275"/>
      <c r="S176" s="275"/>
    </row>
    <row r="177" spans="1:19" ht="75" x14ac:dyDescent="0.25">
      <c r="A177" s="298"/>
      <c r="B177" s="298"/>
      <c r="C177" s="298"/>
      <c r="D177" s="287"/>
      <c r="E177" s="297"/>
      <c r="F177" s="297"/>
      <c r="G177" s="297"/>
      <c r="H177" s="9"/>
      <c r="I177" s="9"/>
      <c r="J177" s="9"/>
      <c r="K177" s="127" t="s">
        <v>463</v>
      </c>
      <c r="L177" s="9"/>
      <c r="M177" s="9" t="s">
        <v>464</v>
      </c>
      <c r="N177" s="275"/>
      <c r="O177" s="275"/>
      <c r="P177" s="275"/>
      <c r="Q177" s="275"/>
      <c r="R177" s="275"/>
      <c r="S177" s="275"/>
    </row>
    <row r="178" spans="1:19" ht="105" x14ac:dyDescent="0.25">
      <c r="A178" s="298"/>
      <c r="B178" s="298"/>
      <c r="C178" s="298"/>
      <c r="D178" s="287"/>
      <c r="E178" s="280"/>
      <c r="F178" s="280"/>
      <c r="G178" s="280"/>
      <c r="H178" s="9"/>
      <c r="I178" s="9"/>
      <c r="J178" s="9"/>
      <c r="K178" s="127" t="s">
        <v>296</v>
      </c>
      <c r="L178" s="147"/>
      <c r="M178" s="9" t="s">
        <v>297</v>
      </c>
      <c r="N178" s="274"/>
      <c r="O178" s="274"/>
      <c r="P178" s="274"/>
      <c r="Q178" s="274"/>
      <c r="R178" s="274"/>
      <c r="S178" s="274"/>
    </row>
    <row r="179" spans="1:19" ht="135" x14ac:dyDescent="0.25">
      <c r="A179" s="174"/>
      <c r="B179" s="174"/>
      <c r="C179" s="174"/>
      <c r="D179" s="175"/>
      <c r="E179" s="173"/>
      <c r="F179" s="173"/>
      <c r="G179" s="173"/>
      <c r="H179" s="9"/>
      <c r="I179" s="9"/>
      <c r="J179" s="9"/>
      <c r="K179" s="127" t="s">
        <v>507</v>
      </c>
      <c r="L179" s="147"/>
      <c r="M179" s="9" t="s">
        <v>508</v>
      </c>
      <c r="N179" s="183"/>
      <c r="O179" s="183"/>
      <c r="P179" s="183"/>
      <c r="Q179" s="182"/>
      <c r="R179" s="182"/>
      <c r="S179" s="182"/>
    </row>
    <row r="180" spans="1:19" s="20" customFormat="1" ht="114" x14ac:dyDescent="0.2">
      <c r="A180" s="66">
        <v>2600</v>
      </c>
      <c r="B180" s="25" t="s">
        <v>490</v>
      </c>
      <c r="C180" s="15"/>
      <c r="D180" s="23"/>
      <c r="E180" s="15"/>
      <c r="F180" s="15"/>
      <c r="G180" s="15"/>
      <c r="H180" s="15"/>
      <c r="I180" s="15"/>
      <c r="J180" s="15"/>
      <c r="K180" s="226"/>
      <c r="L180" s="15"/>
      <c r="M180" s="15"/>
      <c r="N180" s="185">
        <f t="shared" ref="N180:S180" si="25">N181+N183</f>
        <v>31555454.879999999</v>
      </c>
      <c r="O180" s="185">
        <f t="shared" si="25"/>
        <v>31497043.150000002</v>
      </c>
      <c r="P180" s="185">
        <f t="shared" si="25"/>
        <v>36819411</v>
      </c>
      <c r="Q180" s="185">
        <f t="shared" si="25"/>
        <v>31580360</v>
      </c>
      <c r="R180" s="185">
        <f t="shared" si="25"/>
        <v>31427860</v>
      </c>
      <c r="S180" s="185">
        <f t="shared" si="25"/>
        <v>31491860</v>
      </c>
    </row>
    <row r="181" spans="1:19" ht="90" x14ac:dyDescent="0.25">
      <c r="A181" s="276" t="s">
        <v>480</v>
      </c>
      <c r="B181" s="279" t="s">
        <v>576</v>
      </c>
      <c r="C181" s="276">
        <v>911</v>
      </c>
      <c r="D181" s="286" t="s">
        <v>286</v>
      </c>
      <c r="E181" s="9" t="s">
        <v>20</v>
      </c>
      <c r="F181" s="9" t="s">
        <v>33</v>
      </c>
      <c r="G181" s="8" t="s">
        <v>21</v>
      </c>
      <c r="H181" s="9" t="s">
        <v>24</v>
      </c>
      <c r="I181" s="10" t="s">
        <v>25</v>
      </c>
      <c r="J181" s="8" t="s">
        <v>26</v>
      </c>
      <c r="K181" s="55" t="s">
        <v>29</v>
      </c>
      <c r="L181" s="4"/>
      <c r="M181" s="9" t="s">
        <v>30</v>
      </c>
      <c r="N181" s="273">
        <v>3440879.88</v>
      </c>
      <c r="O181" s="273">
        <v>3420376.78</v>
      </c>
      <c r="P181" s="273">
        <v>4485034</v>
      </c>
      <c r="Q181" s="273">
        <v>3922026</v>
      </c>
      <c r="R181" s="273">
        <v>3822026</v>
      </c>
      <c r="S181" s="273">
        <v>3886026</v>
      </c>
    </row>
    <row r="182" spans="1:19" ht="285" x14ac:dyDescent="0.25">
      <c r="A182" s="277"/>
      <c r="B182" s="280"/>
      <c r="C182" s="277"/>
      <c r="D182" s="288"/>
      <c r="E182" s="8" t="s">
        <v>22</v>
      </c>
      <c r="F182" s="6" t="s">
        <v>25</v>
      </c>
      <c r="G182" s="8" t="s">
        <v>23</v>
      </c>
      <c r="H182" s="9" t="s">
        <v>27</v>
      </c>
      <c r="I182" s="10" t="s">
        <v>25</v>
      </c>
      <c r="J182" s="9" t="s">
        <v>28</v>
      </c>
      <c r="K182" s="55" t="s">
        <v>287</v>
      </c>
      <c r="L182" s="10"/>
      <c r="M182" s="9" t="s">
        <v>288</v>
      </c>
      <c r="N182" s="274"/>
      <c r="O182" s="274"/>
      <c r="P182" s="274"/>
      <c r="Q182" s="274"/>
      <c r="R182" s="274"/>
      <c r="S182" s="274"/>
    </row>
    <row r="183" spans="1:19" ht="45" x14ac:dyDescent="0.25">
      <c r="A183" s="276">
        <v>2608</v>
      </c>
      <c r="B183" s="279" t="s">
        <v>364</v>
      </c>
      <c r="C183" s="276">
        <v>911</v>
      </c>
      <c r="D183" s="286" t="s">
        <v>286</v>
      </c>
      <c r="E183" s="279" t="s">
        <v>20</v>
      </c>
      <c r="F183" s="279" t="s">
        <v>35</v>
      </c>
      <c r="G183" s="279" t="s">
        <v>21</v>
      </c>
      <c r="H183" s="329"/>
      <c r="I183" s="276"/>
      <c r="J183" s="276"/>
      <c r="K183" s="55" t="s">
        <v>29</v>
      </c>
      <c r="L183" s="4"/>
      <c r="M183" s="9" t="s">
        <v>30</v>
      </c>
      <c r="N183" s="273">
        <v>28114575</v>
      </c>
      <c r="O183" s="273">
        <v>28076666.370000001</v>
      </c>
      <c r="P183" s="273">
        <v>32334377</v>
      </c>
      <c r="Q183" s="273">
        <v>27658334</v>
      </c>
      <c r="R183" s="273">
        <v>27605834</v>
      </c>
      <c r="S183" s="273">
        <v>27605834</v>
      </c>
    </row>
    <row r="184" spans="1:19" ht="75.75" customHeight="1" x14ac:dyDescent="0.25">
      <c r="A184" s="277"/>
      <c r="B184" s="280"/>
      <c r="C184" s="277"/>
      <c r="D184" s="288"/>
      <c r="E184" s="280"/>
      <c r="F184" s="280"/>
      <c r="G184" s="280"/>
      <c r="H184" s="330"/>
      <c r="I184" s="277"/>
      <c r="J184" s="277"/>
      <c r="K184" s="55" t="s">
        <v>356</v>
      </c>
      <c r="L184" s="4"/>
      <c r="M184" s="9" t="s">
        <v>357</v>
      </c>
      <c r="N184" s="274"/>
      <c r="O184" s="274"/>
      <c r="P184" s="274"/>
      <c r="Q184" s="274"/>
      <c r="R184" s="274"/>
      <c r="S184" s="274"/>
    </row>
    <row r="185" spans="1:19" s="20" customFormat="1" ht="14.25" x14ac:dyDescent="0.2">
      <c r="A185" s="30"/>
      <c r="B185" s="29" t="s">
        <v>304</v>
      </c>
      <c r="C185" s="30">
        <v>915</v>
      </c>
      <c r="D185" s="31"/>
      <c r="E185" s="29"/>
      <c r="F185" s="29"/>
      <c r="G185" s="29"/>
      <c r="H185" s="29"/>
      <c r="I185" s="29"/>
      <c r="J185" s="29"/>
      <c r="K185" s="227"/>
      <c r="L185" s="29"/>
      <c r="M185" s="29"/>
      <c r="N185" s="191">
        <f t="shared" ref="N185:S185" si="26">N186+N203</f>
        <v>153941588.28000003</v>
      </c>
      <c r="O185" s="191">
        <f t="shared" si="26"/>
        <v>153935359.93000001</v>
      </c>
      <c r="P185" s="191">
        <f t="shared" si="26"/>
        <v>165889984</v>
      </c>
      <c r="Q185" s="191">
        <f t="shared" si="26"/>
        <v>131368845</v>
      </c>
      <c r="R185" s="191">
        <f t="shared" si="26"/>
        <v>129380624</v>
      </c>
      <c r="S185" s="191">
        <f t="shared" si="26"/>
        <v>129231424</v>
      </c>
    </row>
    <row r="186" spans="1:19" s="20" customFormat="1" ht="57" x14ac:dyDescent="0.2">
      <c r="A186" s="82">
        <v>2500</v>
      </c>
      <c r="B186" s="90" t="s">
        <v>489</v>
      </c>
      <c r="C186" s="15"/>
      <c r="D186" s="23"/>
      <c r="E186" s="15"/>
      <c r="F186" s="15"/>
      <c r="G186" s="15"/>
      <c r="H186" s="15"/>
      <c r="I186" s="15"/>
      <c r="J186" s="15"/>
      <c r="K186" s="226"/>
      <c r="L186" s="15"/>
      <c r="M186" s="15"/>
      <c r="N186" s="193">
        <f t="shared" ref="N186:S186" si="27">N187+N191+N198</f>
        <v>150323057.60000002</v>
      </c>
      <c r="O186" s="193">
        <f t="shared" si="27"/>
        <v>150321760.18000001</v>
      </c>
      <c r="P186" s="193">
        <f t="shared" si="27"/>
        <v>161530872</v>
      </c>
      <c r="Q186" s="193">
        <f t="shared" si="27"/>
        <v>127323603</v>
      </c>
      <c r="R186" s="193">
        <f t="shared" si="27"/>
        <v>125391882</v>
      </c>
      <c r="S186" s="193">
        <f t="shared" si="27"/>
        <v>125242682</v>
      </c>
    </row>
    <row r="187" spans="1:19" ht="90" customHeight="1" x14ac:dyDescent="0.25">
      <c r="A187" s="276">
        <v>2525</v>
      </c>
      <c r="B187" s="279" t="s">
        <v>495</v>
      </c>
      <c r="C187" s="276">
        <v>915</v>
      </c>
      <c r="D187" s="286" t="s">
        <v>289</v>
      </c>
      <c r="E187" s="9" t="s">
        <v>20</v>
      </c>
      <c r="F187" s="9" t="s">
        <v>163</v>
      </c>
      <c r="G187" s="9" t="s">
        <v>91</v>
      </c>
      <c r="H187" s="9" t="s">
        <v>166</v>
      </c>
      <c r="I187" s="9" t="s">
        <v>48</v>
      </c>
      <c r="J187" s="9" t="s">
        <v>167</v>
      </c>
      <c r="K187" s="55" t="s">
        <v>29</v>
      </c>
      <c r="L187" s="9" t="s">
        <v>168</v>
      </c>
      <c r="M187" s="56" t="s">
        <v>30</v>
      </c>
      <c r="N187" s="273">
        <v>51223570.979999997</v>
      </c>
      <c r="O187" s="273">
        <v>51222273.560000002</v>
      </c>
      <c r="P187" s="273">
        <v>46492554.119999997</v>
      </c>
      <c r="Q187" s="273">
        <v>44941048</v>
      </c>
      <c r="R187" s="273">
        <v>44376174</v>
      </c>
      <c r="S187" s="273">
        <v>44376174</v>
      </c>
    </row>
    <row r="188" spans="1:19" ht="120" x14ac:dyDescent="0.25">
      <c r="A188" s="298"/>
      <c r="B188" s="297"/>
      <c r="C188" s="298"/>
      <c r="D188" s="287"/>
      <c r="E188" s="9"/>
      <c r="F188" s="9"/>
      <c r="G188" s="9"/>
      <c r="H188" s="9"/>
      <c r="I188" s="9"/>
      <c r="J188" s="9"/>
      <c r="K188" s="127" t="s">
        <v>354</v>
      </c>
      <c r="L188" s="9"/>
      <c r="M188" s="56" t="s">
        <v>355</v>
      </c>
      <c r="N188" s="275"/>
      <c r="O188" s="275"/>
      <c r="P188" s="275"/>
      <c r="Q188" s="275"/>
      <c r="R188" s="275"/>
      <c r="S188" s="275"/>
    </row>
    <row r="189" spans="1:19" ht="135" x14ac:dyDescent="0.25">
      <c r="A189" s="298"/>
      <c r="B189" s="297"/>
      <c r="C189" s="298"/>
      <c r="D189" s="287"/>
      <c r="E189" s="9"/>
      <c r="F189" s="9"/>
      <c r="G189" s="9"/>
      <c r="H189" s="9"/>
      <c r="I189" s="9"/>
      <c r="J189" s="9"/>
      <c r="K189" s="55" t="s">
        <v>465</v>
      </c>
      <c r="L189" s="55"/>
      <c r="M189" s="150" t="s">
        <v>449</v>
      </c>
      <c r="N189" s="275"/>
      <c r="O189" s="275"/>
      <c r="P189" s="275"/>
      <c r="Q189" s="275"/>
      <c r="R189" s="275"/>
      <c r="S189" s="275"/>
    </row>
    <row r="190" spans="1:19" ht="60" x14ac:dyDescent="0.25">
      <c r="A190" s="277"/>
      <c r="B190" s="280"/>
      <c r="C190" s="277"/>
      <c r="D190" s="288"/>
      <c r="E190" s="9"/>
      <c r="F190" s="9"/>
      <c r="G190" s="9"/>
      <c r="H190" s="9"/>
      <c r="I190" s="9"/>
      <c r="J190" s="9"/>
      <c r="K190" s="55" t="s">
        <v>530</v>
      </c>
      <c r="L190" s="55"/>
      <c r="M190" s="200">
        <v>44544</v>
      </c>
      <c r="N190" s="274"/>
      <c r="O190" s="274"/>
      <c r="P190" s="274"/>
      <c r="Q190" s="274"/>
      <c r="R190" s="274"/>
      <c r="S190" s="274"/>
    </row>
    <row r="191" spans="1:19" ht="165" x14ac:dyDescent="0.25">
      <c r="A191" s="276">
        <v>2530</v>
      </c>
      <c r="B191" s="279" t="s">
        <v>307</v>
      </c>
      <c r="C191" s="276">
        <v>915</v>
      </c>
      <c r="D191" s="286" t="s">
        <v>308</v>
      </c>
      <c r="E191" s="9" t="s">
        <v>20</v>
      </c>
      <c r="F191" s="9" t="s">
        <v>309</v>
      </c>
      <c r="G191" s="9" t="s">
        <v>91</v>
      </c>
      <c r="H191" s="9" t="s">
        <v>315</v>
      </c>
      <c r="I191" s="9" t="s">
        <v>302</v>
      </c>
      <c r="J191" s="9" t="s">
        <v>316</v>
      </c>
      <c r="K191" s="55" t="s">
        <v>599</v>
      </c>
      <c r="L191" s="9"/>
      <c r="M191" s="9" t="s">
        <v>549</v>
      </c>
      <c r="N191" s="275">
        <v>51511213.299999997</v>
      </c>
      <c r="O191" s="275">
        <v>51511213.299999997</v>
      </c>
      <c r="P191" s="273">
        <v>61274761.840000004</v>
      </c>
      <c r="Q191" s="273">
        <v>38600332</v>
      </c>
      <c r="R191" s="275">
        <v>37960332</v>
      </c>
      <c r="S191" s="275">
        <v>37811132</v>
      </c>
    </row>
    <row r="192" spans="1:19" ht="210" x14ac:dyDescent="0.25">
      <c r="A192" s="298"/>
      <c r="B192" s="297"/>
      <c r="C192" s="298"/>
      <c r="D192" s="287"/>
      <c r="E192" s="9"/>
      <c r="F192" s="9"/>
      <c r="G192" s="9"/>
      <c r="H192" s="9"/>
      <c r="I192" s="9"/>
      <c r="J192" s="9"/>
      <c r="K192" s="55" t="s">
        <v>550</v>
      </c>
      <c r="L192" s="9"/>
      <c r="M192" s="9" t="s">
        <v>551</v>
      </c>
      <c r="N192" s="275"/>
      <c r="O192" s="275"/>
      <c r="P192" s="275"/>
      <c r="Q192" s="275"/>
      <c r="R192" s="275"/>
      <c r="S192" s="275"/>
    </row>
    <row r="193" spans="1:19" ht="135" x14ac:dyDescent="0.25">
      <c r="A193" s="298"/>
      <c r="B193" s="297"/>
      <c r="C193" s="298"/>
      <c r="D193" s="287"/>
      <c r="E193" s="9" t="s">
        <v>310</v>
      </c>
      <c r="F193" s="9" t="s">
        <v>48</v>
      </c>
      <c r="G193" s="9" t="s">
        <v>311</v>
      </c>
      <c r="H193" s="9"/>
      <c r="I193" s="9"/>
      <c r="J193" s="9"/>
      <c r="K193" s="55" t="s">
        <v>318</v>
      </c>
      <c r="L193" s="9"/>
      <c r="M193" s="9" t="s">
        <v>549</v>
      </c>
      <c r="N193" s="275"/>
      <c r="O193" s="275"/>
      <c r="P193" s="275"/>
      <c r="Q193" s="275"/>
      <c r="R193" s="275"/>
      <c r="S193" s="275"/>
    </row>
    <row r="194" spans="1:19" ht="180" x14ac:dyDescent="0.25">
      <c r="A194" s="298"/>
      <c r="B194" s="297"/>
      <c r="C194" s="298"/>
      <c r="D194" s="287"/>
      <c r="E194" s="9"/>
      <c r="F194" s="9"/>
      <c r="G194" s="9"/>
      <c r="H194" s="9"/>
      <c r="I194" s="9"/>
      <c r="J194" s="9"/>
      <c r="K194" s="55" t="s">
        <v>552</v>
      </c>
      <c r="L194" s="9"/>
      <c r="M194" s="9" t="s">
        <v>551</v>
      </c>
      <c r="N194" s="275"/>
      <c r="O194" s="275"/>
      <c r="P194" s="275"/>
      <c r="Q194" s="275"/>
      <c r="R194" s="275"/>
      <c r="S194" s="275"/>
    </row>
    <row r="195" spans="1:19" ht="120" x14ac:dyDescent="0.25">
      <c r="A195" s="298"/>
      <c r="B195" s="297"/>
      <c r="C195" s="298"/>
      <c r="D195" s="287"/>
      <c r="E195" s="9"/>
      <c r="F195" s="9"/>
      <c r="G195" s="9"/>
      <c r="H195" s="9"/>
      <c r="I195" s="9"/>
      <c r="J195" s="9"/>
      <c r="K195" s="127" t="s">
        <v>522</v>
      </c>
      <c r="L195" s="9"/>
      <c r="M195" s="9" t="s">
        <v>523</v>
      </c>
      <c r="N195" s="275"/>
      <c r="O195" s="275"/>
      <c r="P195" s="275"/>
      <c r="Q195" s="275"/>
      <c r="R195" s="275"/>
      <c r="S195" s="275"/>
    </row>
    <row r="196" spans="1:19" ht="75" x14ac:dyDescent="0.25">
      <c r="A196" s="298"/>
      <c r="B196" s="297"/>
      <c r="C196" s="298"/>
      <c r="D196" s="287"/>
      <c r="E196" s="9"/>
      <c r="F196" s="9"/>
      <c r="G196" s="9"/>
      <c r="H196" s="9"/>
      <c r="I196" s="9"/>
      <c r="J196" s="9"/>
      <c r="K196" s="127" t="s">
        <v>525</v>
      </c>
      <c r="L196" s="9"/>
      <c r="M196" s="9" t="s">
        <v>526</v>
      </c>
      <c r="N196" s="275"/>
      <c r="O196" s="275"/>
      <c r="P196" s="275"/>
      <c r="Q196" s="275"/>
      <c r="R196" s="275"/>
      <c r="S196" s="275"/>
    </row>
    <row r="197" spans="1:19" ht="120" x14ac:dyDescent="0.25">
      <c r="A197" s="298"/>
      <c r="B197" s="297"/>
      <c r="C197" s="298"/>
      <c r="D197" s="287"/>
      <c r="E197" s="9" t="s">
        <v>312</v>
      </c>
      <c r="F197" s="9" t="s">
        <v>314</v>
      </c>
      <c r="G197" s="9" t="s">
        <v>313</v>
      </c>
      <c r="H197" s="9"/>
      <c r="I197" s="9"/>
      <c r="J197" s="9"/>
      <c r="K197" s="55" t="s">
        <v>319</v>
      </c>
      <c r="L197" s="9"/>
      <c r="M197" s="9" t="s">
        <v>524</v>
      </c>
      <c r="N197" s="275"/>
      <c r="O197" s="275"/>
      <c r="P197" s="274"/>
      <c r="Q197" s="274"/>
      <c r="R197" s="275"/>
      <c r="S197" s="275"/>
    </row>
    <row r="198" spans="1:19" ht="105" x14ac:dyDescent="0.25">
      <c r="A198" s="276">
        <v>2531</v>
      </c>
      <c r="B198" s="279" t="s">
        <v>320</v>
      </c>
      <c r="C198" s="276">
        <v>915</v>
      </c>
      <c r="D198" s="286" t="s">
        <v>308</v>
      </c>
      <c r="E198" s="9" t="s">
        <v>20</v>
      </c>
      <c r="F198" s="9" t="s">
        <v>321</v>
      </c>
      <c r="G198" s="9" t="s">
        <v>91</v>
      </c>
      <c r="H198" s="9" t="s">
        <v>247</v>
      </c>
      <c r="I198" s="9" t="s">
        <v>325</v>
      </c>
      <c r="J198" s="9" t="s">
        <v>248</v>
      </c>
      <c r="K198" s="55" t="s">
        <v>326</v>
      </c>
      <c r="L198" s="9"/>
      <c r="M198" s="9" t="s">
        <v>317</v>
      </c>
      <c r="N198" s="273">
        <f>99099486.62-N191</f>
        <v>47588273.320000008</v>
      </c>
      <c r="O198" s="273">
        <f>99099486.62-O191</f>
        <v>47588273.320000008</v>
      </c>
      <c r="P198" s="273">
        <f>115038317.88-P191</f>
        <v>53763556.039999992</v>
      </c>
      <c r="Q198" s="273">
        <f>82382555-Q191</f>
        <v>43782223</v>
      </c>
      <c r="R198" s="273">
        <v>43055376</v>
      </c>
      <c r="S198" s="273">
        <v>43055376</v>
      </c>
    </row>
    <row r="199" spans="1:19" ht="150" x14ac:dyDescent="0.25">
      <c r="A199" s="298"/>
      <c r="B199" s="297"/>
      <c r="C199" s="298"/>
      <c r="D199" s="287"/>
      <c r="E199" s="9" t="s">
        <v>322</v>
      </c>
      <c r="F199" s="9" t="s">
        <v>323</v>
      </c>
      <c r="G199" s="9" t="s">
        <v>324</v>
      </c>
      <c r="H199" s="9"/>
      <c r="I199" s="9"/>
      <c r="J199" s="9"/>
      <c r="K199" s="55" t="s">
        <v>327</v>
      </c>
      <c r="L199" s="9"/>
      <c r="M199" s="9" t="s">
        <v>317</v>
      </c>
      <c r="N199" s="275"/>
      <c r="O199" s="275"/>
      <c r="P199" s="275"/>
      <c r="Q199" s="275"/>
      <c r="R199" s="275"/>
      <c r="S199" s="275"/>
    </row>
    <row r="200" spans="1:19" ht="150" x14ac:dyDescent="0.25">
      <c r="A200" s="298"/>
      <c r="B200" s="297"/>
      <c r="C200" s="298"/>
      <c r="D200" s="287"/>
      <c r="E200" s="9"/>
      <c r="F200" s="9"/>
      <c r="G200" s="9"/>
      <c r="H200" s="9"/>
      <c r="I200" s="9"/>
      <c r="J200" s="9"/>
      <c r="K200" s="55" t="s">
        <v>600</v>
      </c>
      <c r="L200" s="9"/>
      <c r="M200" s="9" t="s">
        <v>601</v>
      </c>
      <c r="N200" s="275"/>
      <c r="O200" s="275"/>
      <c r="P200" s="275"/>
      <c r="Q200" s="275"/>
      <c r="R200" s="275"/>
      <c r="S200" s="275"/>
    </row>
    <row r="201" spans="1:19" ht="150" x14ac:dyDescent="0.25">
      <c r="A201" s="277"/>
      <c r="B201" s="280"/>
      <c r="C201" s="277"/>
      <c r="D201" s="288"/>
      <c r="E201" s="9"/>
      <c r="F201" s="9"/>
      <c r="G201" s="9"/>
      <c r="H201" s="9"/>
      <c r="I201" s="9"/>
      <c r="J201" s="9"/>
      <c r="K201" s="55" t="s">
        <v>328</v>
      </c>
      <c r="L201" s="9"/>
      <c r="M201" s="9" t="s">
        <v>317</v>
      </c>
      <c r="N201" s="275"/>
      <c r="O201" s="275"/>
      <c r="P201" s="275"/>
      <c r="Q201" s="275"/>
      <c r="R201" s="275"/>
      <c r="S201" s="275"/>
    </row>
    <row r="202" spans="1:19" ht="135" x14ac:dyDescent="0.25">
      <c r="A202" s="253"/>
      <c r="B202" s="252"/>
      <c r="C202" s="250"/>
      <c r="D202" s="251"/>
      <c r="E202" s="9"/>
      <c r="F202" s="9"/>
      <c r="G202" s="9"/>
      <c r="H202" s="9"/>
      <c r="I202" s="9"/>
      <c r="J202" s="9"/>
      <c r="K202" s="55" t="s">
        <v>594</v>
      </c>
      <c r="L202" s="9"/>
      <c r="M202" s="9" t="s">
        <v>595</v>
      </c>
      <c r="N202" s="274"/>
      <c r="O202" s="274"/>
      <c r="P202" s="274"/>
      <c r="Q202" s="274"/>
      <c r="R202" s="274"/>
      <c r="S202" s="274"/>
    </row>
    <row r="203" spans="1:19" s="20" customFormat="1" ht="114" x14ac:dyDescent="0.2">
      <c r="A203" s="66">
        <v>2600</v>
      </c>
      <c r="B203" s="25" t="s">
        <v>490</v>
      </c>
      <c r="C203" s="15"/>
      <c r="D203" s="23"/>
      <c r="E203" s="15"/>
      <c r="F203" s="15"/>
      <c r="G203" s="15"/>
      <c r="H203" s="15"/>
      <c r="I203" s="15"/>
      <c r="J203" s="15"/>
      <c r="K203" s="226"/>
      <c r="L203" s="15"/>
      <c r="M203" s="15"/>
      <c r="N203" s="185">
        <f t="shared" ref="N203:S203" si="28">N204</f>
        <v>3618530.68</v>
      </c>
      <c r="O203" s="185">
        <f t="shared" si="28"/>
        <v>3613599.75</v>
      </c>
      <c r="P203" s="185">
        <f t="shared" si="28"/>
        <v>4359112</v>
      </c>
      <c r="Q203" s="185">
        <f t="shared" si="28"/>
        <v>4045242</v>
      </c>
      <c r="R203" s="185">
        <f t="shared" si="28"/>
        <v>3988742</v>
      </c>
      <c r="S203" s="185">
        <f t="shared" si="28"/>
        <v>3988742</v>
      </c>
    </row>
    <row r="204" spans="1:19" ht="90" x14ac:dyDescent="0.25">
      <c r="A204" s="276" t="s">
        <v>480</v>
      </c>
      <c r="B204" s="279" t="s">
        <v>576</v>
      </c>
      <c r="C204" s="276">
        <v>915</v>
      </c>
      <c r="D204" s="286" t="s">
        <v>305</v>
      </c>
      <c r="E204" s="9" t="s">
        <v>20</v>
      </c>
      <c r="F204" s="9" t="s">
        <v>33</v>
      </c>
      <c r="G204" s="8" t="s">
        <v>21</v>
      </c>
      <c r="H204" s="9" t="s">
        <v>24</v>
      </c>
      <c r="I204" s="10" t="s">
        <v>25</v>
      </c>
      <c r="J204" s="8" t="s">
        <v>26</v>
      </c>
      <c r="K204" s="55" t="s">
        <v>29</v>
      </c>
      <c r="L204" s="4"/>
      <c r="M204" s="9" t="s">
        <v>30</v>
      </c>
      <c r="N204" s="273">
        <v>3618530.68</v>
      </c>
      <c r="O204" s="273">
        <v>3613599.75</v>
      </c>
      <c r="P204" s="273">
        <v>4359112</v>
      </c>
      <c r="Q204" s="273">
        <v>4045242</v>
      </c>
      <c r="R204" s="273">
        <v>3988742</v>
      </c>
      <c r="S204" s="273">
        <v>3988742</v>
      </c>
    </row>
    <row r="205" spans="1:19" ht="285" x14ac:dyDescent="0.25">
      <c r="A205" s="277"/>
      <c r="B205" s="280"/>
      <c r="C205" s="277"/>
      <c r="D205" s="288"/>
      <c r="E205" s="8" t="s">
        <v>22</v>
      </c>
      <c r="F205" s="6" t="s">
        <v>25</v>
      </c>
      <c r="G205" s="8" t="s">
        <v>23</v>
      </c>
      <c r="H205" s="9" t="s">
        <v>27</v>
      </c>
      <c r="I205" s="10" t="s">
        <v>25</v>
      </c>
      <c r="J205" s="9" t="s">
        <v>28</v>
      </c>
      <c r="K205" s="55" t="s">
        <v>306</v>
      </c>
      <c r="L205" s="10"/>
      <c r="M205" s="9" t="s">
        <v>288</v>
      </c>
      <c r="N205" s="274"/>
      <c r="O205" s="274"/>
      <c r="P205" s="274"/>
      <c r="Q205" s="274"/>
      <c r="R205" s="274"/>
      <c r="S205" s="274"/>
    </row>
    <row r="206" spans="1:19" s="20" customFormat="1" ht="28.5" x14ac:dyDescent="0.2">
      <c r="A206" s="30"/>
      <c r="B206" s="29" t="s">
        <v>329</v>
      </c>
      <c r="C206" s="30">
        <v>916</v>
      </c>
      <c r="D206" s="31"/>
      <c r="E206" s="29"/>
      <c r="F206" s="29"/>
      <c r="G206" s="29"/>
      <c r="H206" s="29"/>
      <c r="I206" s="29"/>
      <c r="J206" s="29"/>
      <c r="K206" s="227"/>
      <c r="L206" s="29"/>
      <c r="M206" s="29"/>
      <c r="N206" s="191">
        <f t="shared" ref="N206:S206" si="29">N207+N216</f>
        <v>15786585.060000001</v>
      </c>
      <c r="O206" s="191">
        <f t="shared" si="29"/>
        <v>15669402.9</v>
      </c>
      <c r="P206" s="191">
        <f t="shared" si="29"/>
        <v>17607450</v>
      </c>
      <c r="Q206" s="191">
        <f t="shared" si="29"/>
        <v>12746578</v>
      </c>
      <c r="R206" s="191">
        <f t="shared" si="29"/>
        <v>12546578</v>
      </c>
      <c r="S206" s="191">
        <f t="shared" si="29"/>
        <v>12546578</v>
      </c>
    </row>
    <row r="207" spans="1:19" s="20" customFormat="1" ht="57" x14ac:dyDescent="0.2">
      <c r="A207" s="82">
        <v>2500</v>
      </c>
      <c r="B207" s="90" t="s">
        <v>489</v>
      </c>
      <c r="C207" s="32"/>
      <c r="D207" s="33"/>
      <c r="E207" s="32"/>
      <c r="F207" s="32"/>
      <c r="G207" s="32"/>
      <c r="H207" s="32"/>
      <c r="I207" s="32"/>
      <c r="J207" s="32"/>
      <c r="K207" s="231"/>
      <c r="L207" s="32"/>
      <c r="M207" s="32"/>
      <c r="N207" s="195">
        <f t="shared" ref="N207:S207" si="30">N212+N214+N208</f>
        <v>4624285.2300000004</v>
      </c>
      <c r="O207" s="195">
        <f t="shared" si="30"/>
        <v>4624162.2300000004</v>
      </c>
      <c r="P207" s="195">
        <f t="shared" si="30"/>
        <v>4051300</v>
      </c>
      <c r="Q207" s="195">
        <f t="shared" si="30"/>
        <v>2200000</v>
      </c>
      <c r="R207" s="195">
        <f t="shared" si="30"/>
        <v>2200000</v>
      </c>
      <c r="S207" s="195">
        <f t="shared" si="30"/>
        <v>2200000</v>
      </c>
    </row>
    <row r="208" spans="1:19" ht="225" x14ac:dyDescent="0.25">
      <c r="A208" s="276">
        <v>2504</v>
      </c>
      <c r="B208" s="279" t="s">
        <v>90</v>
      </c>
      <c r="C208" s="335">
        <v>916</v>
      </c>
      <c r="D208" s="338" t="s">
        <v>34</v>
      </c>
      <c r="E208" s="9" t="s">
        <v>20</v>
      </c>
      <c r="F208" s="9" t="s">
        <v>94</v>
      </c>
      <c r="G208" s="9" t="s">
        <v>91</v>
      </c>
      <c r="H208" s="9" t="s">
        <v>101</v>
      </c>
      <c r="I208" s="9" t="s">
        <v>48</v>
      </c>
      <c r="J208" s="9" t="s">
        <v>26</v>
      </c>
      <c r="K208" s="55" t="s">
        <v>397</v>
      </c>
      <c r="L208" s="9"/>
      <c r="M208" s="9" t="s">
        <v>106</v>
      </c>
      <c r="N208" s="304">
        <v>481200</v>
      </c>
      <c r="O208" s="304">
        <v>481200</v>
      </c>
      <c r="P208" s="273">
        <v>395000</v>
      </c>
      <c r="Q208" s="273">
        <v>500000</v>
      </c>
      <c r="R208" s="304">
        <v>500000</v>
      </c>
      <c r="S208" s="304">
        <v>500000</v>
      </c>
    </row>
    <row r="209" spans="1:19" ht="90" x14ac:dyDescent="0.25">
      <c r="A209" s="298"/>
      <c r="B209" s="297"/>
      <c r="C209" s="336"/>
      <c r="D209" s="339"/>
      <c r="E209" s="9" t="s">
        <v>92</v>
      </c>
      <c r="F209" s="9" t="s">
        <v>93</v>
      </c>
      <c r="G209" s="9" t="s">
        <v>95</v>
      </c>
      <c r="H209" s="9" t="s">
        <v>102</v>
      </c>
      <c r="I209" s="9" t="s">
        <v>48</v>
      </c>
      <c r="J209" s="9" t="s">
        <v>103</v>
      </c>
      <c r="K209" s="55" t="s">
        <v>428</v>
      </c>
      <c r="L209" s="9"/>
      <c r="M209" s="9" t="s">
        <v>553</v>
      </c>
      <c r="N209" s="305"/>
      <c r="O209" s="305"/>
      <c r="P209" s="275"/>
      <c r="Q209" s="275"/>
      <c r="R209" s="305"/>
      <c r="S209" s="305"/>
    </row>
    <row r="210" spans="1:19" ht="75" x14ac:dyDescent="0.25">
      <c r="A210" s="298"/>
      <c r="B210" s="297"/>
      <c r="C210" s="336"/>
      <c r="D210" s="339"/>
      <c r="E210" s="9"/>
      <c r="F210" s="9"/>
      <c r="G210" s="9"/>
      <c r="H210" s="9"/>
      <c r="I210" s="9"/>
      <c r="J210" s="9"/>
      <c r="K210" s="55" t="s">
        <v>554</v>
      </c>
      <c r="L210" s="9"/>
      <c r="M210" s="9" t="s">
        <v>555</v>
      </c>
      <c r="N210" s="305"/>
      <c r="O210" s="305"/>
      <c r="P210" s="275"/>
      <c r="Q210" s="275"/>
      <c r="R210" s="305"/>
      <c r="S210" s="305"/>
    </row>
    <row r="211" spans="1:19" ht="180" x14ac:dyDescent="0.25">
      <c r="A211" s="298"/>
      <c r="B211" s="297"/>
      <c r="C211" s="337"/>
      <c r="D211" s="340"/>
      <c r="E211" s="9" t="s">
        <v>96</v>
      </c>
      <c r="F211" s="9" t="s">
        <v>97</v>
      </c>
      <c r="G211" s="9" t="s">
        <v>98</v>
      </c>
      <c r="H211" s="9" t="s">
        <v>104</v>
      </c>
      <c r="I211" s="9" t="s">
        <v>48</v>
      </c>
      <c r="J211" s="9" t="s">
        <v>105</v>
      </c>
      <c r="K211" s="55" t="s">
        <v>109</v>
      </c>
      <c r="L211" s="9"/>
      <c r="M211" s="9" t="s">
        <v>110</v>
      </c>
      <c r="N211" s="306"/>
      <c r="O211" s="306"/>
      <c r="P211" s="274"/>
      <c r="Q211" s="274"/>
      <c r="R211" s="306"/>
      <c r="S211" s="306"/>
    </row>
    <row r="212" spans="1:19" ht="361.5" customHeight="1" x14ac:dyDescent="0.25">
      <c r="A212" s="276">
        <v>2544</v>
      </c>
      <c r="B212" s="279" t="s">
        <v>575</v>
      </c>
      <c r="C212" s="276">
        <v>916</v>
      </c>
      <c r="D212" s="286" t="s">
        <v>116</v>
      </c>
      <c r="E212" s="279" t="s">
        <v>20</v>
      </c>
      <c r="F212" s="279" t="s">
        <v>117</v>
      </c>
      <c r="G212" s="279" t="s">
        <v>91</v>
      </c>
      <c r="H212" s="9" t="s">
        <v>118</v>
      </c>
      <c r="I212" s="9" t="s">
        <v>119</v>
      </c>
      <c r="J212" s="9" t="s">
        <v>120</v>
      </c>
      <c r="K212" s="55" t="s">
        <v>29</v>
      </c>
      <c r="L212" s="9"/>
      <c r="M212" s="9" t="s">
        <v>37</v>
      </c>
      <c r="N212" s="273">
        <v>3813285.23</v>
      </c>
      <c r="O212" s="273">
        <v>3813185.23</v>
      </c>
      <c r="P212" s="273">
        <v>3256300</v>
      </c>
      <c r="Q212" s="273">
        <v>1300000</v>
      </c>
      <c r="R212" s="273">
        <v>1300000</v>
      </c>
      <c r="S212" s="273">
        <v>1300000</v>
      </c>
    </row>
    <row r="213" spans="1:19" ht="409.5" customHeight="1" x14ac:dyDescent="0.25">
      <c r="A213" s="277"/>
      <c r="B213" s="280"/>
      <c r="C213" s="277"/>
      <c r="D213" s="288"/>
      <c r="E213" s="280"/>
      <c r="F213" s="280"/>
      <c r="G213" s="280"/>
      <c r="H213" s="9"/>
      <c r="I213" s="9"/>
      <c r="J213" s="9"/>
      <c r="K213" s="55" t="s">
        <v>121</v>
      </c>
      <c r="L213" s="9"/>
      <c r="M213" s="9" t="s">
        <v>122</v>
      </c>
      <c r="N213" s="274"/>
      <c r="O213" s="274"/>
      <c r="P213" s="274"/>
      <c r="Q213" s="274"/>
      <c r="R213" s="274"/>
      <c r="S213" s="274"/>
    </row>
    <row r="214" spans="1:19" ht="90" x14ac:dyDescent="0.25">
      <c r="A214" s="276">
        <v>2545</v>
      </c>
      <c r="B214" s="279" t="s">
        <v>589</v>
      </c>
      <c r="C214" s="276">
        <v>916</v>
      </c>
      <c r="D214" s="286" t="s">
        <v>34</v>
      </c>
      <c r="E214" s="9" t="s">
        <v>20</v>
      </c>
      <c r="F214" s="9" t="s">
        <v>47</v>
      </c>
      <c r="G214" s="9" t="s">
        <v>91</v>
      </c>
      <c r="H214" s="276"/>
      <c r="I214" s="276"/>
      <c r="J214" s="276"/>
      <c r="K214" s="232" t="s">
        <v>333</v>
      </c>
      <c r="L214" s="9"/>
      <c r="M214" s="9" t="s">
        <v>334</v>
      </c>
      <c r="N214" s="273">
        <v>329800</v>
      </c>
      <c r="O214" s="273">
        <v>329777</v>
      </c>
      <c r="P214" s="273">
        <v>400000</v>
      </c>
      <c r="Q214" s="273">
        <v>400000</v>
      </c>
      <c r="R214" s="273">
        <v>400000</v>
      </c>
      <c r="S214" s="273">
        <v>400000</v>
      </c>
    </row>
    <row r="215" spans="1:19" ht="45" x14ac:dyDescent="0.25">
      <c r="A215" s="277"/>
      <c r="B215" s="280"/>
      <c r="C215" s="277"/>
      <c r="D215" s="288"/>
      <c r="E215" s="9" t="s">
        <v>330</v>
      </c>
      <c r="F215" s="9" t="s">
        <v>331</v>
      </c>
      <c r="G215" s="9" t="s">
        <v>332</v>
      </c>
      <c r="H215" s="277"/>
      <c r="I215" s="277"/>
      <c r="J215" s="277"/>
      <c r="K215" s="233"/>
      <c r="L215" s="9"/>
      <c r="M215" s="9"/>
      <c r="N215" s="274"/>
      <c r="O215" s="274"/>
      <c r="P215" s="274"/>
      <c r="Q215" s="274"/>
      <c r="R215" s="274"/>
      <c r="S215" s="274"/>
    </row>
    <row r="216" spans="1:19" s="20" customFormat="1" ht="114" x14ac:dyDescent="0.2">
      <c r="A216" s="66">
        <v>2600</v>
      </c>
      <c r="B216" s="25" t="s">
        <v>490</v>
      </c>
      <c r="C216" s="32"/>
      <c r="D216" s="33"/>
      <c r="E216" s="32"/>
      <c r="F216" s="32"/>
      <c r="G216" s="32"/>
      <c r="H216" s="32"/>
      <c r="I216" s="32"/>
      <c r="J216" s="32"/>
      <c r="K216" s="231"/>
      <c r="L216" s="32"/>
      <c r="M216" s="32"/>
      <c r="N216" s="195">
        <f t="shared" ref="N216:S216" si="31">N217</f>
        <v>11162299.83</v>
      </c>
      <c r="O216" s="195">
        <f t="shared" si="31"/>
        <v>11045240.67</v>
      </c>
      <c r="P216" s="195">
        <f t="shared" si="31"/>
        <v>13556150</v>
      </c>
      <c r="Q216" s="195">
        <f t="shared" si="31"/>
        <v>10546578</v>
      </c>
      <c r="R216" s="195">
        <f t="shared" si="31"/>
        <v>10346578</v>
      </c>
      <c r="S216" s="195">
        <f t="shared" si="31"/>
        <v>10346578</v>
      </c>
    </row>
    <row r="217" spans="1:19" ht="90" x14ac:dyDescent="0.25">
      <c r="A217" s="276" t="s">
        <v>480</v>
      </c>
      <c r="B217" s="279" t="s">
        <v>590</v>
      </c>
      <c r="C217" s="276">
        <v>916</v>
      </c>
      <c r="D217" s="18" t="s">
        <v>34</v>
      </c>
      <c r="E217" s="9" t="s">
        <v>20</v>
      </c>
      <c r="F217" s="9" t="s">
        <v>33</v>
      </c>
      <c r="G217" s="8" t="s">
        <v>21</v>
      </c>
      <c r="H217" s="9" t="s">
        <v>24</v>
      </c>
      <c r="I217" s="10" t="s">
        <v>25</v>
      </c>
      <c r="J217" s="8" t="s">
        <v>26</v>
      </c>
      <c r="K217" s="55" t="s">
        <v>29</v>
      </c>
      <c r="L217" s="9"/>
      <c r="M217" s="9" t="s">
        <v>30</v>
      </c>
      <c r="N217" s="273">
        <v>11162299.83</v>
      </c>
      <c r="O217" s="273">
        <v>11045240.67</v>
      </c>
      <c r="P217" s="273">
        <v>13556150</v>
      </c>
      <c r="Q217" s="273">
        <v>10546578</v>
      </c>
      <c r="R217" s="273">
        <v>10346578</v>
      </c>
      <c r="S217" s="273">
        <v>10346578</v>
      </c>
    </row>
    <row r="218" spans="1:19" ht="185.25" customHeight="1" x14ac:dyDescent="0.25">
      <c r="A218" s="277"/>
      <c r="B218" s="280"/>
      <c r="C218" s="277"/>
      <c r="D218" s="18"/>
      <c r="E218" s="8" t="s">
        <v>22</v>
      </c>
      <c r="F218" s="6" t="s">
        <v>25</v>
      </c>
      <c r="G218" s="8" t="s">
        <v>23</v>
      </c>
      <c r="H218" s="279" t="s">
        <v>27</v>
      </c>
      <c r="I218" s="10" t="s">
        <v>25</v>
      </c>
      <c r="J218" s="9" t="s">
        <v>28</v>
      </c>
      <c r="K218" s="55" t="s">
        <v>428</v>
      </c>
      <c r="L218" s="9"/>
      <c r="M218" s="9" t="s">
        <v>553</v>
      </c>
      <c r="N218" s="274"/>
      <c r="O218" s="274"/>
      <c r="P218" s="274"/>
      <c r="Q218" s="274"/>
      <c r="R218" s="274"/>
      <c r="S218" s="274"/>
    </row>
    <row r="219" spans="1:19" ht="106.5" customHeight="1" x14ac:dyDescent="0.25">
      <c r="A219" s="215"/>
      <c r="B219" s="216"/>
      <c r="C219" s="215"/>
      <c r="D219" s="18"/>
      <c r="E219" s="8"/>
      <c r="F219" s="6"/>
      <c r="G219" s="8"/>
      <c r="H219" s="280"/>
      <c r="I219" s="10"/>
      <c r="J219" s="9"/>
      <c r="K219" s="55" t="s">
        <v>556</v>
      </c>
      <c r="L219" s="9"/>
      <c r="M219" s="9" t="s">
        <v>555</v>
      </c>
      <c r="N219" s="214"/>
      <c r="O219" s="214"/>
      <c r="P219" s="214"/>
      <c r="Q219" s="214"/>
      <c r="R219" s="214"/>
      <c r="S219" s="214"/>
    </row>
    <row r="220" spans="1:19" s="20" customFormat="1" ht="14.25" x14ac:dyDescent="0.2">
      <c r="A220" s="30"/>
      <c r="B220" s="29" t="s">
        <v>336</v>
      </c>
      <c r="C220" s="30">
        <v>917</v>
      </c>
      <c r="D220" s="31"/>
      <c r="E220" s="29"/>
      <c r="F220" s="29"/>
      <c r="G220" s="29"/>
      <c r="H220" s="29"/>
      <c r="I220" s="29"/>
      <c r="J220" s="29"/>
      <c r="K220" s="227"/>
      <c r="L220" s="29"/>
      <c r="M220" s="29"/>
      <c r="N220" s="191">
        <f>N221</f>
        <v>7897511.21</v>
      </c>
      <c r="O220" s="191">
        <f t="shared" ref="O220:S221" si="32">O221</f>
        <v>7865738.21</v>
      </c>
      <c r="P220" s="191">
        <f t="shared" si="32"/>
        <v>8481934</v>
      </c>
      <c r="Q220" s="191">
        <f t="shared" si="32"/>
        <v>7694363</v>
      </c>
      <c r="R220" s="191">
        <f t="shared" si="32"/>
        <v>7575363</v>
      </c>
      <c r="S220" s="191">
        <f t="shared" si="32"/>
        <v>7575363</v>
      </c>
    </row>
    <row r="221" spans="1:19" s="20" customFormat="1" ht="114" x14ac:dyDescent="0.2">
      <c r="A221" s="66">
        <v>2600</v>
      </c>
      <c r="B221" s="25" t="s">
        <v>490</v>
      </c>
      <c r="C221" s="15"/>
      <c r="D221" s="23"/>
      <c r="E221" s="15"/>
      <c r="F221" s="15"/>
      <c r="G221" s="15"/>
      <c r="H221" s="15"/>
      <c r="I221" s="15"/>
      <c r="J221" s="15"/>
      <c r="K221" s="226"/>
      <c r="L221" s="15"/>
      <c r="M221" s="15"/>
      <c r="N221" s="185">
        <f>N222</f>
        <v>7897511.21</v>
      </c>
      <c r="O221" s="185">
        <f t="shared" si="32"/>
        <v>7865738.21</v>
      </c>
      <c r="P221" s="185">
        <f t="shared" si="32"/>
        <v>8481934</v>
      </c>
      <c r="Q221" s="185">
        <f t="shared" si="32"/>
        <v>7694363</v>
      </c>
      <c r="R221" s="185">
        <f t="shared" si="32"/>
        <v>7575363</v>
      </c>
      <c r="S221" s="185">
        <f t="shared" si="32"/>
        <v>7575363</v>
      </c>
    </row>
    <row r="222" spans="1:19" ht="90" x14ac:dyDescent="0.25">
      <c r="A222" s="276" t="s">
        <v>480</v>
      </c>
      <c r="B222" s="279" t="s">
        <v>592</v>
      </c>
      <c r="C222" s="276">
        <v>917</v>
      </c>
      <c r="D222" s="286" t="s">
        <v>337</v>
      </c>
      <c r="E222" s="9" t="s">
        <v>20</v>
      </c>
      <c r="F222" s="9" t="s">
        <v>33</v>
      </c>
      <c r="G222" s="8" t="s">
        <v>21</v>
      </c>
      <c r="H222" s="9" t="s">
        <v>24</v>
      </c>
      <c r="I222" s="10" t="s">
        <v>25</v>
      </c>
      <c r="J222" s="8" t="s">
        <v>26</v>
      </c>
      <c r="K222" s="55" t="s">
        <v>29</v>
      </c>
      <c r="L222" s="9"/>
      <c r="M222" s="9" t="s">
        <v>37</v>
      </c>
      <c r="N222" s="273">
        <v>7897511.21</v>
      </c>
      <c r="O222" s="273">
        <v>7865738.21</v>
      </c>
      <c r="P222" s="273">
        <v>8481934</v>
      </c>
      <c r="Q222" s="273">
        <v>7694363</v>
      </c>
      <c r="R222" s="273">
        <v>7575363</v>
      </c>
      <c r="S222" s="273">
        <v>7575363</v>
      </c>
    </row>
    <row r="223" spans="1:19" ht="285" x14ac:dyDescent="0.25">
      <c r="A223" s="277"/>
      <c r="B223" s="280"/>
      <c r="C223" s="277"/>
      <c r="D223" s="288"/>
      <c r="E223" s="8" t="s">
        <v>22</v>
      </c>
      <c r="F223" s="6" t="s">
        <v>25</v>
      </c>
      <c r="G223" s="8" t="s">
        <v>23</v>
      </c>
      <c r="H223" s="9" t="s">
        <v>27</v>
      </c>
      <c r="I223" s="10" t="s">
        <v>25</v>
      </c>
      <c r="J223" s="9" t="s">
        <v>28</v>
      </c>
      <c r="K223" s="127"/>
      <c r="L223" s="9"/>
      <c r="M223" s="9"/>
      <c r="N223" s="274"/>
      <c r="O223" s="274"/>
      <c r="P223" s="274"/>
      <c r="Q223" s="274"/>
      <c r="R223" s="274"/>
      <c r="S223" s="274"/>
    </row>
    <row r="224" spans="1:19" s="20" customFormat="1" ht="14.25" x14ac:dyDescent="0.2">
      <c r="A224" s="30"/>
      <c r="B224" s="29" t="s">
        <v>339</v>
      </c>
      <c r="C224" s="30">
        <v>918</v>
      </c>
      <c r="D224" s="31"/>
      <c r="E224" s="29"/>
      <c r="F224" s="29"/>
      <c r="G224" s="29"/>
      <c r="H224" s="29"/>
      <c r="I224" s="29"/>
      <c r="J224" s="29"/>
      <c r="K224" s="227"/>
      <c r="L224" s="29"/>
      <c r="M224" s="29"/>
      <c r="N224" s="191">
        <f>N225</f>
        <v>2005626.34</v>
      </c>
      <c r="O224" s="191">
        <f t="shared" ref="O224:S225" si="33">O225</f>
        <v>2005626.34</v>
      </c>
      <c r="P224" s="191">
        <f t="shared" si="33"/>
        <v>2253226</v>
      </c>
      <c r="Q224" s="191">
        <f t="shared" si="33"/>
        <v>2158452</v>
      </c>
      <c r="R224" s="191">
        <f t="shared" si="33"/>
        <v>2117052</v>
      </c>
      <c r="S224" s="191">
        <f t="shared" si="33"/>
        <v>2117052</v>
      </c>
    </row>
    <row r="225" spans="1:19" s="20" customFormat="1" ht="114" x14ac:dyDescent="0.2">
      <c r="A225" s="66">
        <v>2600</v>
      </c>
      <c r="B225" s="25" t="s">
        <v>490</v>
      </c>
      <c r="C225" s="15"/>
      <c r="D225" s="23"/>
      <c r="E225" s="15"/>
      <c r="F225" s="15"/>
      <c r="G225" s="15"/>
      <c r="H225" s="15"/>
      <c r="I225" s="15"/>
      <c r="J225" s="15"/>
      <c r="K225" s="226"/>
      <c r="L225" s="15"/>
      <c r="M225" s="15"/>
      <c r="N225" s="185">
        <f>N226</f>
        <v>2005626.34</v>
      </c>
      <c r="O225" s="185">
        <f t="shared" si="33"/>
        <v>2005626.34</v>
      </c>
      <c r="P225" s="185">
        <f t="shared" si="33"/>
        <v>2253226</v>
      </c>
      <c r="Q225" s="185">
        <f t="shared" si="33"/>
        <v>2158452</v>
      </c>
      <c r="R225" s="185">
        <f t="shared" si="33"/>
        <v>2117052</v>
      </c>
      <c r="S225" s="185">
        <f t="shared" si="33"/>
        <v>2117052</v>
      </c>
    </row>
    <row r="226" spans="1:19" ht="90" x14ac:dyDescent="0.25">
      <c r="A226" s="276" t="s">
        <v>480</v>
      </c>
      <c r="B226" s="279" t="s">
        <v>591</v>
      </c>
      <c r="C226" s="276">
        <v>918</v>
      </c>
      <c r="D226" s="286" t="s">
        <v>338</v>
      </c>
      <c r="E226" s="9" t="s">
        <v>20</v>
      </c>
      <c r="F226" s="9" t="s">
        <v>33</v>
      </c>
      <c r="G226" s="8" t="s">
        <v>21</v>
      </c>
      <c r="H226" s="9" t="s">
        <v>24</v>
      </c>
      <c r="I226" s="10" t="s">
        <v>25</v>
      </c>
      <c r="J226" s="8" t="s">
        <v>26</v>
      </c>
      <c r="K226" s="55" t="s">
        <v>29</v>
      </c>
      <c r="L226" s="9"/>
      <c r="M226" s="9"/>
      <c r="N226" s="273">
        <v>2005626.34</v>
      </c>
      <c r="O226" s="273">
        <v>2005626.34</v>
      </c>
      <c r="P226" s="273">
        <v>2253226</v>
      </c>
      <c r="Q226" s="273">
        <v>2158452</v>
      </c>
      <c r="R226" s="273">
        <v>2117052</v>
      </c>
      <c r="S226" s="273">
        <v>2117052</v>
      </c>
    </row>
    <row r="227" spans="1:19" ht="285" x14ac:dyDescent="0.25">
      <c r="A227" s="277"/>
      <c r="B227" s="280"/>
      <c r="C227" s="277"/>
      <c r="D227" s="288"/>
      <c r="E227" s="8" t="s">
        <v>22</v>
      </c>
      <c r="F227" s="6" t="s">
        <v>25</v>
      </c>
      <c r="G227" s="8" t="s">
        <v>23</v>
      </c>
      <c r="H227" s="9" t="s">
        <v>27</v>
      </c>
      <c r="I227" s="10" t="s">
        <v>25</v>
      </c>
      <c r="J227" s="9" t="s">
        <v>28</v>
      </c>
      <c r="K227" s="55" t="s">
        <v>135</v>
      </c>
      <c r="L227" s="9"/>
      <c r="M227" s="9" t="s">
        <v>136</v>
      </c>
      <c r="N227" s="274"/>
      <c r="O227" s="274"/>
      <c r="P227" s="274"/>
      <c r="Q227" s="274"/>
      <c r="R227" s="274"/>
      <c r="S227" s="274"/>
    </row>
    <row r="228" spans="1:19" ht="26.25" customHeight="1" x14ac:dyDescent="0.25">
      <c r="A228" s="65">
        <v>2500</v>
      </c>
      <c r="B228" s="281" t="s">
        <v>393</v>
      </c>
      <c r="C228" s="284"/>
      <c r="D228" s="284"/>
      <c r="E228" s="284"/>
      <c r="F228" s="284"/>
      <c r="G228" s="284"/>
      <c r="H228" s="284"/>
      <c r="I228" s="284"/>
      <c r="J228" s="284"/>
      <c r="K228" s="284"/>
      <c r="L228" s="284"/>
      <c r="M228" s="285"/>
      <c r="N228" s="186">
        <f t="shared" ref="N228:S228" si="34">N10+N48+N64+N75+N84+N121+N164+N186+N207</f>
        <v>1721353648.2199998</v>
      </c>
      <c r="O228" s="186">
        <f t="shared" si="34"/>
        <v>1696087742.77</v>
      </c>
      <c r="P228" s="186">
        <f t="shared" si="34"/>
        <v>1764507651.8800001</v>
      </c>
      <c r="Q228" s="186">
        <f t="shared" si="34"/>
        <v>1076385104.6100001</v>
      </c>
      <c r="R228" s="186">
        <f t="shared" si="34"/>
        <v>1064862241.6700001</v>
      </c>
      <c r="S228" s="186">
        <f t="shared" si="34"/>
        <v>965320657</v>
      </c>
    </row>
    <row r="229" spans="1:19" ht="33.75" customHeight="1" x14ac:dyDescent="0.25">
      <c r="A229" s="14">
        <v>2600</v>
      </c>
      <c r="B229" s="281" t="s">
        <v>392</v>
      </c>
      <c r="C229" s="284"/>
      <c r="D229" s="284"/>
      <c r="E229" s="284"/>
      <c r="F229" s="284"/>
      <c r="G229" s="284"/>
      <c r="H229" s="284"/>
      <c r="I229" s="284"/>
      <c r="J229" s="284"/>
      <c r="K229" s="284"/>
      <c r="L229" s="284"/>
      <c r="M229" s="285"/>
      <c r="N229" s="186">
        <f t="shared" ref="N229:S229" si="35">N26+N56+N66+N101+N151+N180+N203+N216+N221+N225</f>
        <v>240081841.47</v>
      </c>
      <c r="O229" s="186">
        <f t="shared" si="35"/>
        <v>233686607.93000001</v>
      </c>
      <c r="P229" s="186">
        <f t="shared" si="35"/>
        <v>275766029.99000001</v>
      </c>
      <c r="Q229" s="186">
        <f t="shared" si="35"/>
        <v>243000504</v>
      </c>
      <c r="R229" s="186">
        <f t="shared" si="35"/>
        <v>244025804</v>
      </c>
      <c r="S229" s="186">
        <f t="shared" si="35"/>
        <v>200331634</v>
      </c>
    </row>
    <row r="230" spans="1:19" ht="30" customHeight="1" x14ac:dyDescent="0.25">
      <c r="A230" s="66">
        <v>3100</v>
      </c>
      <c r="B230" s="281" t="s">
        <v>483</v>
      </c>
      <c r="C230" s="282"/>
      <c r="D230" s="282"/>
      <c r="E230" s="282"/>
      <c r="F230" s="282"/>
      <c r="G230" s="282"/>
      <c r="H230" s="282"/>
      <c r="I230" s="282"/>
      <c r="J230" s="282"/>
      <c r="K230" s="282"/>
      <c r="L230" s="282"/>
      <c r="M230" s="283"/>
      <c r="N230" s="182">
        <f t="shared" ref="N230:S230" si="36">N32</f>
        <v>830267.2</v>
      </c>
      <c r="O230" s="182">
        <f t="shared" si="36"/>
        <v>786312.08</v>
      </c>
      <c r="P230" s="182">
        <f t="shared" si="36"/>
        <v>886400</v>
      </c>
      <c r="Q230" s="182">
        <f t="shared" si="36"/>
        <v>25900</v>
      </c>
      <c r="R230" s="182">
        <f t="shared" si="36"/>
        <v>23100</v>
      </c>
      <c r="S230" s="182">
        <f t="shared" si="36"/>
        <v>0</v>
      </c>
    </row>
    <row r="231" spans="1:19" x14ac:dyDescent="0.25">
      <c r="A231" s="14">
        <v>3200</v>
      </c>
      <c r="B231" s="319" t="s">
        <v>593</v>
      </c>
      <c r="C231" s="319"/>
      <c r="D231" s="319"/>
      <c r="E231" s="319"/>
      <c r="F231" s="319"/>
      <c r="G231" s="319"/>
      <c r="H231" s="319"/>
      <c r="I231" s="319"/>
      <c r="J231" s="319"/>
      <c r="K231" s="319"/>
      <c r="L231" s="319"/>
      <c r="M231" s="319"/>
      <c r="N231" s="196">
        <f t="shared" ref="N231:S231" si="37">N36+N60+N156+N105</f>
        <v>118459928.59</v>
      </c>
      <c r="O231" s="196">
        <f t="shared" si="37"/>
        <v>100026534.38</v>
      </c>
      <c r="P231" s="196">
        <f t="shared" si="37"/>
        <v>157434711.37</v>
      </c>
      <c r="Q231" s="196">
        <f t="shared" si="37"/>
        <v>214612800</v>
      </c>
      <c r="R231" s="196">
        <f t="shared" si="37"/>
        <v>152173300</v>
      </c>
      <c r="S231" s="196">
        <f t="shared" si="37"/>
        <v>130812400</v>
      </c>
    </row>
    <row r="232" spans="1:19" x14ac:dyDescent="0.25">
      <c r="A232" s="14">
        <v>3400</v>
      </c>
      <c r="B232" s="281" t="s">
        <v>484</v>
      </c>
      <c r="C232" s="284"/>
      <c r="D232" s="284"/>
      <c r="E232" s="284"/>
      <c r="F232" s="284"/>
      <c r="G232" s="284"/>
      <c r="H232" s="284"/>
      <c r="I232" s="284"/>
      <c r="J232" s="284"/>
      <c r="K232" s="284"/>
      <c r="L232" s="284"/>
      <c r="M232" s="285"/>
      <c r="N232" s="196">
        <f t="shared" ref="N232:S232" si="38">N114</f>
        <v>958676940</v>
      </c>
      <c r="O232" s="196">
        <f t="shared" si="38"/>
        <v>958675840</v>
      </c>
      <c r="P232" s="196">
        <f t="shared" si="38"/>
        <v>1065149806.76</v>
      </c>
      <c r="Q232" s="196">
        <f t="shared" si="38"/>
        <v>970797700</v>
      </c>
      <c r="R232" s="196">
        <f t="shared" si="38"/>
        <v>970797700</v>
      </c>
      <c r="S232" s="196">
        <f t="shared" si="38"/>
        <v>953622500</v>
      </c>
    </row>
    <row r="233" spans="1:19" ht="15.75" thickBot="1" x14ac:dyDescent="0.3">
      <c r="A233" s="160"/>
      <c r="B233" s="289" t="s">
        <v>349</v>
      </c>
      <c r="C233" s="290"/>
      <c r="D233" s="290"/>
      <c r="E233" s="290"/>
      <c r="F233" s="290"/>
      <c r="G233" s="290"/>
      <c r="H233" s="290"/>
      <c r="I233" s="290"/>
      <c r="J233" s="290"/>
      <c r="K233" s="290"/>
      <c r="L233" s="290"/>
      <c r="M233" s="291"/>
      <c r="N233" s="197">
        <f t="shared" ref="N233:S233" si="39">SUM(N228:N231)+N232</f>
        <v>3039402625.4799995</v>
      </c>
      <c r="O233" s="197">
        <f t="shared" si="39"/>
        <v>2989263037.1599998</v>
      </c>
      <c r="P233" s="197">
        <f t="shared" si="39"/>
        <v>3263744600</v>
      </c>
      <c r="Q233" s="197">
        <f t="shared" si="39"/>
        <v>2504822008.6100001</v>
      </c>
      <c r="R233" s="197">
        <f t="shared" si="39"/>
        <v>2431882145.6700001</v>
      </c>
      <c r="S233" s="197">
        <f t="shared" si="39"/>
        <v>2250087191</v>
      </c>
    </row>
    <row r="234" spans="1:19" hidden="1" x14ac:dyDescent="0.25">
      <c r="N234" s="36" t="e">
        <f>N224+N220+N206+N185+N163+N120+#REF!+N83+N74+N63+N47+N9</f>
        <v>#REF!</v>
      </c>
      <c r="O234" s="36" t="e">
        <f>O224+O220+O206+O185+O163+O120+#REF!+O83+O74+O63+O47+O9</f>
        <v>#REF!</v>
      </c>
      <c r="P234" s="36" t="e">
        <f>P224+P220+P206+P185+P163+P120+#REF!+P83+P74+P63+P47+P9</f>
        <v>#REF!</v>
      </c>
      <c r="Q234" s="36" t="e">
        <f>Q224+Q220+Q206+Q185+Q163+Q120+#REF!+Q83+Q74+Q63+Q47+Q9</f>
        <v>#REF!</v>
      </c>
      <c r="R234" s="36" t="e">
        <f>R224+R220+R206+R185+R163+R120+#REF!+R83+R74+R63+R47+R9</f>
        <v>#REF!</v>
      </c>
      <c r="S234" s="36" t="e">
        <f>S224+S220+S206+S185+S163+S120+#REF!+S83+S74+S63+S47+S9</f>
        <v>#REF!</v>
      </c>
    </row>
    <row r="235" spans="1:19" hidden="1" x14ac:dyDescent="0.25">
      <c r="N235" s="17" t="e">
        <f t="shared" ref="N235:S235" si="40">N233-N234</f>
        <v>#REF!</v>
      </c>
      <c r="O235" s="17" t="e">
        <f t="shared" si="40"/>
        <v>#REF!</v>
      </c>
      <c r="P235" s="17" t="e">
        <f t="shared" si="40"/>
        <v>#REF!</v>
      </c>
      <c r="Q235" s="17" t="e">
        <f t="shared" si="40"/>
        <v>#REF!</v>
      </c>
      <c r="R235" s="17" t="e">
        <f t="shared" si="40"/>
        <v>#REF!</v>
      </c>
      <c r="S235" s="17" t="e">
        <f t="shared" si="40"/>
        <v>#REF!</v>
      </c>
    </row>
    <row r="236" spans="1:19" hidden="1" x14ac:dyDescent="0.25">
      <c r="N236" s="17">
        <v>2445385506.8400002</v>
      </c>
      <c r="O236" s="17">
        <v>2404316517.79</v>
      </c>
      <c r="P236" s="94">
        <v>2728038322.6999998</v>
      </c>
      <c r="Q236" s="94">
        <f>2456707715.23-26800000</f>
        <v>2429907715.23</v>
      </c>
      <c r="R236" s="94">
        <f>2389651888.9-52000000</f>
        <v>2337651888.9000001</v>
      </c>
      <c r="S236" s="94">
        <f>2231159314-52000000</f>
        <v>2179159314</v>
      </c>
    </row>
    <row r="237" spans="1:19" hidden="1" x14ac:dyDescent="0.25">
      <c r="N237" s="94" t="e">
        <f>N234-N236</f>
        <v>#REF!</v>
      </c>
      <c r="O237" s="94" t="e">
        <f>O234-O236</f>
        <v>#REF!</v>
      </c>
      <c r="P237" s="94" t="e">
        <f>P234-P236</f>
        <v>#REF!</v>
      </c>
      <c r="Q237" s="94">
        <f>Q233-Q236</f>
        <v>74914293.380000114</v>
      </c>
      <c r="R237" s="94">
        <f>R233-R236</f>
        <v>94230256.769999981</v>
      </c>
      <c r="S237" s="1">
        <f>S233-S236</f>
        <v>70927877</v>
      </c>
    </row>
    <row r="238" spans="1:19" x14ac:dyDescent="0.25">
      <c r="Q238" s="94">
        <v>28600000</v>
      </c>
      <c r="R238" s="94">
        <v>57700000</v>
      </c>
      <c r="S238" s="94">
        <v>57700000</v>
      </c>
    </row>
    <row r="239" spans="1:19" x14ac:dyDescent="0.25">
      <c r="Q239" s="94">
        <f>Q233+Q238</f>
        <v>2533422008.6100001</v>
      </c>
      <c r="R239" s="94">
        <f t="shared" ref="R239:S239" si="41">R233+R238</f>
        <v>2489582145.6700001</v>
      </c>
      <c r="S239" s="94">
        <f t="shared" si="41"/>
        <v>2307787191</v>
      </c>
    </row>
    <row r="240" spans="1:19" x14ac:dyDescent="0.25">
      <c r="A240" s="278" t="s">
        <v>542</v>
      </c>
      <c r="B240" s="278"/>
      <c r="C240" s="278"/>
      <c r="D240" s="278"/>
      <c r="E240" s="1" t="s">
        <v>543</v>
      </c>
      <c r="P240" s="94">
        <v>3263744600</v>
      </c>
      <c r="Q240" s="94">
        <v>2533422008.6100001</v>
      </c>
      <c r="R240" s="94">
        <v>2489582145.6700001</v>
      </c>
    </row>
    <row r="241" spans="16:18" x14ac:dyDescent="0.25">
      <c r="P241" s="94">
        <f>P233-P240</f>
        <v>0</v>
      </c>
      <c r="Q241" s="94">
        <f>Q240-Q239</f>
        <v>0</v>
      </c>
      <c r="R241" s="94">
        <f>R240-R239</f>
        <v>0</v>
      </c>
    </row>
  </sheetData>
  <mergeCells count="611">
    <mergeCell ref="A96:A97"/>
    <mergeCell ref="P181:P182"/>
    <mergeCell ref="Q181:Q182"/>
    <mergeCell ref="E159:E160"/>
    <mergeCell ref="P191:P197"/>
    <mergeCell ref="R117:R118"/>
    <mergeCell ref="P217:P218"/>
    <mergeCell ref="Q217:Q218"/>
    <mergeCell ref="P222:P223"/>
    <mergeCell ref="Q222:Q223"/>
    <mergeCell ref="R137:R139"/>
    <mergeCell ref="R146:R147"/>
    <mergeCell ref="Q214:Q215"/>
    <mergeCell ref="O212:O213"/>
    <mergeCell ref="J214:J215"/>
    <mergeCell ref="J183:J184"/>
    <mergeCell ref="R212:R213"/>
    <mergeCell ref="R208:R211"/>
    <mergeCell ref="P183:P184"/>
    <mergeCell ref="Q183:Q184"/>
    <mergeCell ref="Q187:Q190"/>
    <mergeCell ref="R183:R184"/>
    <mergeCell ref="Q191:Q197"/>
    <mergeCell ref="P204:P205"/>
    <mergeCell ref="Q226:Q227"/>
    <mergeCell ref="N19:N21"/>
    <mergeCell ref="O19:O21"/>
    <mergeCell ref="P19:P21"/>
    <mergeCell ref="Q19:Q21"/>
    <mergeCell ref="P165:P166"/>
    <mergeCell ref="Q165:Q166"/>
    <mergeCell ref="Q130:Q131"/>
    <mergeCell ref="P143:P145"/>
    <mergeCell ref="Q143:Q145"/>
    <mergeCell ref="P146:P147"/>
    <mergeCell ref="Q146:Q147"/>
    <mergeCell ref="P152:P153"/>
    <mergeCell ref="Q152:Q153"/>
    <mergeCell ref="P154:P155"/>
    <mergeCell ref="Q154:Q155"/>
    <mergeCell ref="Q33:Q34"/>
    <mergeCell ref="N23:N25"/>
    <mergeCell ref="P137:P139"/>
    <mergeCell ref="Q137:Q139"/>
    <mergeCell ref="P140:P142"/>
    <mergeCell ref="O76:O79"/>
    <mergeCell ref="P115:P116"/>
    <mergeCell ref="N72:N73"/>
    <mergeCell ref="S61:S62"/>
    <mergeCell ref="S57:S59"/>
    <mergeCell ref="S146:S147"/>
    <mergeCell ref="S143:S145"/>
    <mergeCell ref="S152:S153"/>
    <mergeCell ref="S161:S162"/>
    <mergeCell ref="R143:R145"/>
    <mergeCell ref="R154:R155"/>
    <mergeCell ref="P175:P178"/>
    <mergeCell ref="R175:R178"/>
    <mergeCell ref="S122:S124"/>
    <mergeCell ref="S130:S131"/>
    <mergeCell ref="S117:S118"/>
    <mergeCell ref="S125:S128"/>
    <mergeCell ref="S175:S178"/>
    <mergeCell ref="P172:P174"/>
    <mergeCell ref="Q172:Q174"/>
    <mergeCell ref="R172:R174"/>
    <mergeCell ref="S172:S174"/>
    <mergeCell ref="Q140:Q142"/>
    <mergeCell ref="S140:S142"/>
    <mergeCell ref="S137:S139"/>
    <mergeCell ref="R140:R142"/>
    <mergeCell ref="S154:S155"/>
    <mergeCell ref="A137:A139"/>
    <mergeCell ref="B137:B139"/>
    <mergeCell ref="C137:C139"/>
    <mergeCell ref="P15:P17"/>
    <mergeCell ref="P33:P34"/>
    <mergeCell ref="S42:S43"/>
    <mergeCell ref="S49:S52"/>
    <mergeCell ref="S33:S34"/>
    <mergeCell ref="Q72:Q73"/>
    <mergeCell ref="R72:R73"/>
    <mergeCell ref="S72:S73"/>
    <mergeCell ref="S40:S41"/>
    <mergeCell ref="S27:S28"/>
    <mergeCell ref="Q23:Q25"/>
    <mergeCell ref="R23:R25"/>
    <mergeCell ref="S23:S25"/>
    <mergeCell ref="Q29:Q30"/>
    <mergeCell ref="S54:S55"/>
    <mergeCell ref="S15:S17"/>
    <mergeCell ref="P27:P28"/>
    <mergeCell ref="Q27:Q28"/>
    <mergeCell ref="P29:P30"/>
    <mergeCell ref="S70:S71"/>
    <mergeCell ref="S67:S69"/>
    <mergeCell ref="A143:A145"/>
    <mergeCell ref="B146:B147"/>
    <mergeCell ref="A152:A153"/>
    <mergeCell ref="B152:B153"/>
    <mergeCell ref="C152:C153"/>
    <mergeCell ref="D152:D153"/>
    <mergeCell ref="A161:A162"/>
    <mergeCell ref="B161:B162"/>
    <mergeCell ref="B143:B145"/>
    <mergeCell ref="A146:A147"/>
    <mergeCell ref="D146:D147"/>
    <mergeCell ref="R33:R34"/>
    <mergeCell ref="O40:O41"/>
    <mergeCell ref="R40:R41"/>
    <mergeCell ref="R85:R89"/>
    <mergeCell ref="R70:R71"/>
    <mergeCell ref="O70:O71"/>
    <mergeCell ref="P70:P71"/>
    <mergeCell ref="Q70:Q71"/>
    <mergeCell ref="R125:R128"/>
    <mergeCell ref="P125:P128"/>
    <mergeCell ref="O33:O34"/>
    <mergeCell ref="P49:P52"/>
    <mergeCell ref="Q49:Q52"/>
    <mergeCell ref="O49:O52"/>
    <mergeCell ref="O44:O45"/>
    <mergeCell ref="P44:P45"/>
    <mergeCell ref="Q44:Q45"/>
    <mergeCell ref="R44:R45"/>
    <mergeCell ref="P76:P79"/>
    <mergeCell ref="Q125:Q128"/>
    <mergeCell ref="R19:R21"/>
    <mergeCell ref="S19:S21"/>
    <mergeCell ref="Q15:Q17"/>
    <mergeCell ref="R15:R17"/>
    <mergeCell ref="P40:P41"/>
    <mergeCell ref="Q40:Q41"/>
    <mergeCell ref="P42:P43"/>
    <mergeCell ref="Q42:Q43"/>
    <mergeCell ref="E11:E12"/>
    <mergeCell ref="N27:N28"/>
    <mergeCell ref="O29:O30"/>
    <mergeCell ref="R29:R30"/>
    <mergeCell ref="S29:S30"/>
    <mergeCell ref="E15:E16"/>
    <mergeCell ref="F15:F16"/>
    <mergeCell ref="G15:G16"/>
    <mergeCell ref="O42:O43"/>
    <mergeCell ref="O27:O28"/>
    <mergeCell ref="R27:R28"/>
    <mergeCell ref="N42:N43"/>
    <mergeCell ref="N33:N34"/>
    <mergeCell ref="E29:E30"/>
    <mergeCell ref="E40:E41"/>
    <mergeCell ref="R42:R43"/>
    <mergeCell ref="N61:N62"/>
    <mergeCell ref="P57:P59"/>
    <mergeCell ref="Q57:Q59"/>
    <mergeCell ref="P61:P62"/>
    <mergeCell ref="Q61:Q62"/>
    <mergeCell ref="P67:P69"/>
    <mergeCell ref="Q67:Q69"/>
    <mergeCell ref="O115:O116"/>
    <mergeCell ref="Q115:Q116"/>
    <mergeCell ref="N85:N89"/>
    <mergeCell ref="N99:N100"/>
    <mergeCell ref="N70:N71"/>
    <mergeCell ref="O102:O103"/>
    <mergeCell ref="P99:P100"/>
    <mergeCell ref="R132:R133"/>
    <mergeCell ref="N102:N103"/>
    <mergeCell ref="N122:N124"/>
    <mergeCell ref="H122:H123"/>
    <mergeCell ref="N134:N136"/>
    <mergeCell ref="Q132:Q133"/>
    <mergeCell ref="P132:P133"/>
    <mergeCell ref="R115:R116"/>
    <mergeCell ref="P102:P103"/>
    <mergeCell ref="N132:N133"/>
    <mergeCell ref="O122:O124"/>
    <mergeCell ref="R122:R124"/>
    <mergeCell ref="O117:O118"/>
    <mergeCell ref="O132:O133"/>
    <mergeCell ref="P134:P136"/>
    <mergeCell ref="Q122:Q124"/>
    <mergeCell ref="P117:P118"/>
    <mergeCell ref="Q117:Q118"/>
    <mergeCell ref="P130:P131"/>
    <mergeCell ref="P122:P124"/>
    <mergeCell ref="O130:O131"/>
    <mergeCell ref="O125:O128"/>
    <mergeCell ref="S76:S79"/>
    <mergeCell ref="S80:S81"/>
    <mergeCell ref="N125:N128"/>
    <mergeCell ref="J134:J136"/>
    <mergeCell ref="S102:S103"/>
    <mergeCell ref="N76:N79"/>
    <mergeCell ref="O85:O89"/>
    <mergeCell ref="S85:S89"/>
    <mergeCell ref="Q99:Q100"/>
    <mergeCell ref="R99:R100"/>
    <mergeCell ref="R76:R79"/>
    <mergeCell ref="R80:R81"/>
    <mergeCell ref="Q76:Q79"/>
    <mergeCell ref="P80:P81"/>
    <mergeCell ref="Q80:Q81"/>
    <mergeCell ref="P85:P89"/>
    <mergeCell ref="Q85:Q89"/>
    <mergeCell ref="S99:S100"/>
    <mergeCell ref="S132:S133"/>
    <mergeCell ref="S134:S136"/>
    <mergeCell ref="S115:S116"/>
    <mergeCell ref="Q134:Q136"/>
    <mergeCell ref="R134:R136"/>
    <mergeCell ref="Q102:Q103"/>
    <mergeCell ref="S217:S218"/>
    <mergeCell ref="O226:O227"/>
    <mergeCell ref="R165:R166"/>
    <mergeCell ref="S165:S166"/>
    <mergeCell ref="O165:O166"/>
    <mergeCell ref="O181:O182"/>
    <mergeCell ref="R181:R182"/>
    <mergeCell ref="S181:S182"/>
    <mergeCell ref="S226:S227"/>
    <mergeCell ref="R226:R227"/>
    <mergeCell ref="S191:S197"/>
    <mergeCell ref="R222:R223"/>
    <mergeCell ref="S222:S223"/>
    <mergeCell ref="S212:S213"/>
    <mergeCell ref="S214:S215"/>
    <mergeCell ref="O204:O205"/>
    <mergeCell ref="R204:R205"/>
    <mergeCell ref="S204:S205"/>
    <mergeCell ref="S183:S184"/>
    <mergeCell ref="S208:S211"/>
    <mergeCell ref="R214:R215"/>
    <mergeCell ref="O214:O215"/>
    <mergeCell ref="P214:P215"/>
    <mergeCell ref="P226:P227"/>
    <mergeCell ref="A198:A201"/>
    <mergeCell ref="B198:B201"/>
    <mergeCell ref="C198:C201"/>
    <mergeCell ref="D198:D201"/>
    <mergeCell ref="A222:A223"/>
    <mergeCell ref="B222:B223"/>
    <mergeCell ref="C214:C215"/>
    <mergeCell ref="D214:D215"/>
    <mergeCell ref="A208:A211"/>
    <mergeCell ref="B208:B211"/>
    <mergeCell ref="C208:C211"/>
    <mergeCell ref="D208:D211"/>
    <mergeCell ref="D204:D205"/>
    <mergeCell ref="A204:A205"/>
    <mergeCell ref="H214:H215"/>
    <mergeCell ref="A226:A227"/>
    <mergeCell ref="B226:B227"/>
    <mergeCell ref="C226:C227"/>
    <mergeCell ref="D226:D227"/>
    <mergeCell ref="N226:N227"/>
    <mergeCell ref="N214:N215"/>
    <mergeCell ref="A212:A213"/>
    <mergeCell ref="A214:A215"/>
    <mergeCell ref="B214:B215"/>
    <mergeCell ref="N222:N223"/>
    <mergeCell ref="N212:N213"/>
    <mergeCell ref="I214:I215"/>
    <mergeCell ref="B212:B213"/>
    <mergeCell ref="C212:C213"/>
    <mergeCell ref="D212:D213"/>
    <mergeCell ref="E212:E213"/>
    <mergeCell ref="F212:F213"/>
    <mergeCell ref="G212:G213"/>
    <mergeCell ref="A5:A7"/>
    <mergeCell ref="B5:B7"/>
    <mergeCell ref="C6:C7"/>
    <mergeCell ref="D6:D7"/>
    <mergeCell ref="A33:A34"/>
    <mergeCell ref="B33:B34"/>
    <mergeCell ref="C33:C34"/>
    <mergeCell ref="D33:D34"/>
    <mergeCell ref="A23:A25"/>
    <mergeCell ref="B23:B25"/>
    <mergeCell ref="C23:C25"/>
    <mergeCell ref="D23:D25"/>
    <mergeCell ref="A15:A17"/>
    <mergeCell ref="B15:B17"/>
    <mergeCell ref="A19:A20"/>
    <mergeCell ref="A27:A28"/>
    <mergeCell ref="B27:B28"/>
    <mergeCell ref="C27:C28"/>
    <mergeCell ref="D27:D28"/>
    <mergeCell ref="B29:B30"/>
    <mergeCell ref="C29:C30"/>
    <mergeCell ref="A29:A30"/>
    <mergeCell ref="D29:D30"/>
    <mergeCell ref="D11:D12"/>
    <mergeCell ref="A172:A174"/>
    <mergeCell ref="B172:B174"/>
    <mergeCell ref="C172:C174"/>
    <mergeCell ref="D172:D174"/>
    <mergeCell ref="A132:A133"/>
    <mergeCell ref="B132:B133"/>
    <mergeCell ref="C132:C133"/>
    <mergeCell ref="A57:A59"/>
    <mergeCell ref="E134:E136"/>
    <mergeCell ref="D85:D89"/>
    <mergeCell ref="C143:C145"/>
    <mergeCell ref="D143:D145"/>
    <mergeCell ref="B134:B136"/>
    <mergeCell ref="A134:A136"/>
    <mergeCell ref="A140:A142"/>
    <mergeCell ref="A165:A167"/>
    <mergeCell ref="B165:B167"/>
    <mergeCell ref="C165:C167"/>
    <mergeCell ref="A154:A155"/>
    <mergeCell ref="D161:D162"/>
    <mergeCell ref="E161:E162"/>
    <mergeCell ref="B154:B155"/>
    <mergeCell ref="C154:C155"/>
    <mergeCell ref="D154:D155"/>
    <mergeCell ref="E183:E184"/>
    <mergeCell ref="F183:F184"/>
    <mergeCell ref="G183:G184"/>
    <mergeCell ref="H183:H184"/>
    <mergeCell ref="I183:I184"/>
    <mergeCell ref="B19:B20"/>
    <mergeCell ref="C19:C20"/>
    <mergeCell ref="D19:D20"/>
    <mergeCell ref="F29:F30"/>
    <mergeCell ref="B181:B182"/>
    <mergeCell ref="C181:C182"/>
    <mergeCell ref="D181:D182"/>
    <mergeCell ref="F134:F136"/>
    <mergeCell ref="F70:F71"/>
    <mergeCell ref="H134:H136"/>
    <mergeCell ref="I134:I136"/>
    <mergeCell ref="H161:H162"/>
    <mergeCell ref="F161:F162"/>
    <mergeCell ref="G161:G162"/>
    <mergeCell ref="D140:D142"/>
    <mergeCell ref="I161:I162"/>
    <mergeCell ref="E175:E178"/>
    <mergeCell ref="F175:F178"/>
    <mergeCell ref="G175:G178"/>
    <mergeCell ref="A175:A178"/>
    <mergeCell ref="B175:B178"/>
    <mergeCell ref="C175:C178"/>
    <mergeCell ref="D175:D178"/>
    <mergeCell ref="A191:A197"/>
    <mergeCell ref="B191:B197"/>
    <mergeCell ref="C191:C197"/>
    <mergeCell ref="D191:D197"/>
    <mergeCell ref="A183:A184"/>
    <mergeCell ref="B183:B184"/>
    <mergeCell ref="C183:C184"/>
    <mergeCell ref="D183:D184"/>
    <mergeCell ref="A187:A190"/>
    <mergeCell ref="B187:B190"/>
    <mergeCell ref="C187:C190"/>
    <mergeCell ref="A181:A182"/>
    <mergeCell ref="D187:D190"/>
    <mergeCell ref="J6:J7"/>
    <mergeCell ref="E5:G5"/>
    <mergeCell ref="H5:J5"/>
    <mergeCell ref="K5:M5"/>
    <mergeCell ref="N11:N13"/>
    <mergeCell ref="O11:O13"/>
    <mergeCell ref="P11:P13"/>
    <mergeCell ref="Q11:Q13"/>
    <mergeCell ref="R11:R13"/>
    <mergeCell ref="Q6:S6"/>
    <mergeCell ref="F11:F12"/>
    <mergeCell ref="S11:S13"/>
    <mergeCell ref="F23:F25"/>
    <mergeCell ref="G23:G25"/>
    <mergeCell ref="G29:G30"/>
    <mergeCell ref="N29:N30"/>
    <mergeCell ref="G11:G12"/>
    <mergeCell ref="P23:P25"/>
    <mergeCell ref="N15:N17"/>
    <mergeCell ref="O15:O17"/>
    <mergeCell ref="C2:P2"/>
    <mergeCell ref="K6:K7"/>
    <mergeCell ref="L6:L7"/>
    <mergeCell ref="M6:M7"/>
    <mergeCell ref="N6:O6"/>
    <mergeCell ref="C5:D5"/>
    <mergeCell ref="C11:C12"/>
    <mergeCell ref="O23:O25"/>
    <mergeCell ref="C15:C17"/>
    <mergeCell ref="D15:D17"/>
    <mergeCell ref="N5:S5"/>
    <mergeCell ref="E6:E7"/>
    <mergeCell ref="F6:F7"/>
    <mergeCell ref="G6:G7"/>
    <mergeCell ref="H6:H7"/>
    <mergeCell ref="I6:I7"/>
    <mergeCell ref="N40:N41"/>
    <mergeCell ref="N49:N52"/>
    <mergeCell ref="A49:A52"/>
    <mergeCell ref="B49:B52"/>
    <mergeCell ref="C49:C52"/>
    <mergeCell ref="B54:B55"/>
    <mergeCell ref="C54:C55"/>
    <mergeCell ref="D54:D55"/>
    <mergeCell ref="B40:B41"/>
    <mergeCell ref="C40:C41"/>
    <mergeCell ref="D40:D41"/>
    <mergeCell ref="F40:F41"/>
    <mergeCell ref="G40:G41"/>
    <mergeCell ref="N44:N45"/>
    <mergeCell ref="N54:N55"/>
    <mergeCell ref="B231:M231"/>
    <mergeCell ref="J161:J162"/>
    <mergeCell ref="B229:M229"/>
    <mergeCell ref="C161:C162"/>
    <mergeCell ref="B125:B128"/>
    <mergeCell ref="B130:B131"/>
    <mergeCell ref="B57:B59"/>
    <mergeCell ref="C57:C59"/>
    <mergeCell ref="D61:D62"/>
    <mergeCell ref="D57:D59"/>
    <mergeCell ref="F67:F68"/>
    <mergeCell ref="G67:G68"/>
    <mergeCell ref="F61:F62"/>
    <mergeCell ref="G61:G62"/>
    <mergeCell ref="F57:F58"/>
    <mergeCell ref="G57:G58"/>
    <mergeCell ref="C222:C223"/>
    <mergeCell ref="D222:D223"/>
    <mergeCell ref="B217:B218"/>
    <mergeCell ref="C217:C218"/>
    <mergeCell ref="B204:B205"/>
    <mergeCell ref="C204:C205"/>
    <mergeCell ref="D130:D131"/>
    <mergeCell ref="D125:D128"/>
    <mergeCell ref="B140:B142"/>
    <mergeCell ref="C134:C136"/>
    <mergeCell ref="C140:C142"/>
    <mergeCell ref="C146:C147"/>
    <mergeCell ref="R49:R52"/>
    <mergeCell ref="P54:P55"/>
    <mergeCell ref="Q54:Q55"/>
    <mergeCell ref="R54:R55"/>
    <mergeCell ref="N80:N81"/>
    <mergeCell ref="O80:O81"/>
    <mergeCell ref="O61:O62"/>
    <mergeCell ref="N57:N59"/>
    <mergeCell ref="O57:O59"/>
    <mergeCell ref="N67:N69"/>
    <mergeCell ref="O67:O69"/>
    <mergeCell ref="R57:R59"/>
    <mergeCell ref="P72:P73"/>
    <mergeCell ref="O72:O73"/>
    <mergeCell ref="O54:O55"/>
    <mergeCell ref="R67:R69"/>
    <mergeCell ref="R61:R62"/>
    <mergeCell ref="R102:R103"/>
    <mergeCell ref="O134:O136"/>
    <mergeCell ref="R130:R131"/>
    <mergeCell ref="A85:A89"/>
    <mergeCell ref="A76:A79"/>
    <mergeCell ref="C76:C79"/>
    <mergeCell ref="D76:D79"/>
    <mergeCell ref="A80:A81"/>
    <mergeCell ref="J57:J58"/>
    <mergeCell ref="I70:I71"/>
    <mergeCell ref="J70:J71"/>
    <mergeCell ref="H80:H81"/>
    <mergeCell ref="J80:J81"/>
    <mergeCell ref="H67:H68"/>
    <mergeCell ref="I67:I68"/>
    <mergeCell ref="J67:J68"/>
    <mergeCell ref="H57:H58"/>
    <mergeCell ref="I57:I58"/>
    <mergeCell ref="I80:I81"/>
    <mergeCell ref="G70:G71"/>
    <mergeCell ref="H70:H71"/>
    <mergeCell ref="A3:B3"/>
    <mergeCell ref="A61:A62"/>
    <mergeCell ref="B61:B62"/>
    <mergeCell ref="C61:C62"/>
    <mergeCell ref="C70:C71"/>
    <mergeCell ref="D70:D71"/>
    <mergeCell ref="E70:E71"/>
    <mergeCell ref="A11:A13"/>
    <mergeCell ref="B11:B13"/>
    <mergeCell ref="A67:A69"/>
    <mergeCell ref="B67:B69"/>
    <mergeCell ref="C67:C69"/>
    <mergeCell ref="D67:D69"/>
    <mergeCell ref="E67:E68"/>
    <mergeCell ref="E61:E62"/>
    <mergeCell ref="E57:E58"/>
    <mergeCell ref="A42:A43"/>
    <mergeCell ref="B42:B43"/>
    <mergeCell ref="C42:C43"/>
    <mergeCell ref="D42:D43"/>
    <mergeCell ref="E23:E25"/>
    <mergeCell ref="D49:D52"/>
    <mergeCell ref="A54:A55"/>
    <mergeCell ref="A4:B4"/>
    <mergeCell ref="A115:A116"/>
    <mergeCell ref="B115:B116"/>
    <mergeCell ref="C115:C116"/>
    <mergeCell ref="D115:D116"/>
    <mergeCell ref="H115:H116"/>
    <mergeCell ref="I115:I116"/>
    <mergeCell ref="J115:J116"/>
    <mergeCell ref="N115:N116"/>
    <mergeCell ref="A130:A131"/>
    <mergeCell ref="A122:A124"/>
    <mergeCell ref="A125:A128"/>
    <mergeCell ref="B122:B124"/>
    <mergeCell ref="C125:C128"/>
    <mergeCell ref="D122:D124"/>
    <mergeCell ref="N130:N131"/>
    <mergeCell ref="A117:A118"/>
    <mergeCell ref="N117:N118"/>
    <mergeCell ref="C130:C131"/>
    <mergeCell ref="C122:C124"/>
    <mergeCell ref="D117:D118"/>
    <mergeCell ref="H117:H118"/>
    <mergeCell ref="I117:I118"/>
    <mergeCell ref="J117:J118"/>
    <mergeCell ref="O161:O162"/>
    <mergeCell ref="N183:N184"/>
    <mergeCell ref="N181:N182"/>
    <mergeCell ref="N161:N162"/>
    <mergeCell ref="O208:O211"/>
    <mergeCell ref="O183:O184"/>
    <mergeCell ref="N143:N145"/>
    <mergeCell ref="N140:N142"/>
    <mergeCell ref="O140:O142"/>
    <mergeCell ref="O154:O155"/>
    <mergeCell ref="O152:O153"/>
    <mergeCell ref="N204:N205"/>
    <mergeCell ref="N208:N211"/>
    <mergeCell ref="N198:N202"/>
    <mergeCell ref="N187:N190"/>
    <mergeCell ref="N165:N166"/>
    <mergeCell ref="N191:N197"/>
    <mergeCell ref="O198:O202"/>
    <mergeCell ref="P198:P202"/>
    <mergeCell ref="N146:N147"/>
    <mergeCell ref="N154:N155"/>
    <mergeCell ref="O146:O147"/>
    <mergeCell ref="N152:N153"/>
    <mergeCell ref="B76:B79"/>
    <mergeCell ref="B80:B81"/>
    <mergeCell ref="O99:O100"/>
    <mergeCell ref="C80:C81"/>
    <mergeCell ref="D80:D81"/>
    <mergeCell ref="B85:B89"/>
    <mergeCell ref="C85:C89"/>
    <mergeCell ref="B99:B100"/>
    <mergeCell ref="I137:I139"/>
    <mergeCell ref="J137:J139"/>
    <mergeCell ref="H137:H139"/>
    <mergeCell ref="D132:D133"/>
    <mergeCell ref="D134:D136"/>
    <mergeCell ref="D137:D139"/>
    <mergeCell ref="E137:E139"/>
    <mergeCell ref="F137:F139"/>
    <mergeCell ref="G137:G139"/>
    <mergeCell ref="B117:B118"/>
    <mergeCell ref="C117:C118"/>
    <mergeCell ref="G134:G136"/>
    <mergeCell ref="O217:O218"/>
    <mergeCell ref="R161:R162"/>
    <mergeCell ref="R152:R153"/>
    <mergeCell ref="N137:N139"/>
    <mergeCell ref="O143:O145"/>
    <mergeCell ref="O172:O174"/>
    <mergeCell ref="O191:O197"/>
    <mergeCell ref="Q175:Q178"/>
    <mergeCell ref="O187:O190"/>
    <mergeCell ref="P187:P190"/>
    <mergeCell ref="O137:O139"/>
    <mergeCell ref="R217:R218"/>
    <mergeCell ref="O175:O178"/>
    <mergeCell ref="N175:N178"/>
    <mergeCell ref="P208:P211"/>
    <mergeCell ref="Q208:Q211"/>
    <mergeCell ref="Q204:Q205"/>
    <mergeCell ref="P212:P213"/>
    <mergeCell ref="Q212:Q213"/>
    <mergeCell ref="R191:R197"/>
    <mergeCell ref="Q198:Q202"/>
    <mergeCell ref="R198:R202"/>
    <mergeCell ref="Q161:Q162"/>
    <mergeCell ref="S44:S45"/>
    <mergeCell ref="S198:S202"/>
    <mergeCell ref="A40:A41"/>
    <mergeCell ref="A240:D240"/>
    <mergeCell ref="N159:N160"/>
    <mergeCell ref="O159:O160"/>
    <mergeCell ref="P159:P160"/>
    <mergeCell ref="Q159:Q160"/>
    <mergeCell ref="R159:R160"/>
    <mergeCell ref="S159:S160"/>
    <mergeCell ref="H159:H160"/>
    <mergeCell ref="H218:H219"/>
    <mergeCell ref="B230:M230"/>
    <mergeCell ref="B232:M232"/>
    <mergeCell ref="R187:R190"/>
    <mergeCell ref="S187:S190"/>
    <mergeCell ref="P161:P162"/>
    <mergeCell ref="N172:N174"/>
    <mergeCell ref="D165:D167"/>
    <mergeCell ref="B233:M233"/>
    <mergeCell ref="B228:M228"/>
    <mergeCell ref="O222:O223"/>
    <mergeCell ref="A217:A218"/>
    <mergeCell ref="N217:N218"/>
  </mergeCells>
  <hyperlinks>
    <hyperlink ref="K154"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362</v>
      </c>
    </row>
    <row r="3" spans="1:8" x14ac:dyDescent="0.25">
      <c r="A3" s="46" t="s">
        <v>360</v>
      </c>
    </row>
    <row r="5" spans="1:8" ht="45" x14ac:dyDescent="0.25">
      <c r="A5" s="276" t="s">
        <v>0</v>
      </c>
      <c r="B5" s="324" t="s">
        <v>1</v>
      </c>
      <c r="C5" s="324" t="s">
        <v>13</v>
      </c>
      <c r="D5" s="324"/>
      <c r="E5" s="41" t="s">
        <v>14</v>
      </c>
      <c r="F5" s="324" t="s">
        <v>15</v>
      </c>
      <c r="G5" s="328"/>
      <c r="H5" s="328"/>
    </row>
    <row r="6" spans="1:8" x14ac:dyDescent="0.25">
      <c r="A6" s="298"/>
      <c r="B6" s="324"/>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131</v>
      </c>
      <c r="C9" s="48" t="e">
        <f>Лист1!#REF!+Лист1!#REF!+Лист1!N226</f>
        <v>#REF!</v>
      </c>
      <c r="D9" s="48" t="e">
        <f>Лист1!#REF!+Лист1!#REF!+Лист1!O226</f>
        <v>#REF!</v>
      </c>
      <c r="E9" s="48" t="e">
        <f>Лист1!#REF!+Лист1!#REF!+Лист1!P226</f>
        <v>#REF!</v>
      </c>
      <c r="F9" s="48" t="e">
        <f>Лист1!#REF!+Лист1!#REF!+Лист1!Q226</f>
        <v>#REF!</v>
      </c>
      <c r="G9" s="48" t="e">
        <f>Лист1!#REF!+Лист1!#REF!+Лист1!R226</f>
        <v>#REF!</v>
      </c>
      <c r="H9" s="48" t="e">
        <f>Лист1!#REF!+Лист1!#REF!+Лист1!S226</f>
        <v>#REF!</v>
      </c>
    </row>
    <row r="10" spans="1:8" ht="30" x14ac:dyDescent="0.25">
      <c r="A10" s="39">
        <v>2104</v>
      </c>
      <c r="B10" s="39" t="s">
        <v>371</v>
      </c>
      <c r="C10" s="48">
        <f>Лист1!N49</f>
        <v>833000</v>
      </c>
      <c r="D10" s="48">
        <f>Лист1!O49</f>
        <v>833000</v>
      </c>
      <c r="E10" s="48">
        <f>Лист1!P49</f>
        <v>1292000</v>
      </c>
      <c r="F10" s="48">
        <f>Лист1!Q49</f>
        <v>0</v>
      </c>
      <c r="G10" s="48">
        <f>Лист1!R49</f>
        <v>0</v>
      </c>
      <c r="H10" s="48">
        <f>Лист1!S49</f>
        <v>0</v>
      </c>
    </row>
    <row r="11" spans="1:8" ht="45" x14ac:dyDescent="0.25">
      <c r="A11" s="39">
        <v>2105</v>
      </c>
      <c r="B11" s="39" t="s">
        <v>210</v>
      </c>
      <c r="C11" s="48">
        <f>Лист1!N122</f>
        <v>1558644.46</v>
      </c>
      <c r="D11" s="48">
        <f>Лист1!O122</f>
        <v>1558644.46</v>
      </c>
      <c r="E11" s="48">
        <f>Лист1!P122</f>
        <v>6918758.9699999997</v>
      </c>
      <c r="F11" s="48">
        <f>Лист1!Q122</f>
        <v>2500000</v>
      </c>
      <c r="G11" s="48">
        <f>Лист1!R122</f>
        <v>2500000</v>
      </c>
      <c r="H11" s="48">
        <f>Лист1!S122</f>
        <v>2500000</v>
      </c>
    </row>
    <row r="12" spans="1:8" ht="105" x14ac:dyDescent="0.25">
      <c r="A12" s="9">
        <v>2106</v>
      </c>
      <c r="B12" s="9" t="s">
        <v>219</v>
      </c>
      <c r="C12" s="48">
        <f>Лист1!N125</f>
        <v>231979489.62</v>
      </c>
      <c r="D12" s="48">
        <f>Лист1!O125</f>
        <v>231370155.44999999</v>
      </c>
      <c r="E12" s="48">
        <f>Лист1!P125</f>
        <v>380863634.57999998</v>
      </c>
      <c r="F12" s="48">
        <f>Лист1!Q125</f>
        <v>113794769</v>
      </c>
      <c r="G12" s="48">
        <f>Лист1!R125</f>
        <v>70096779</v>
      </c>
      <c r="H12" s="48">
        <f>Лист1!S125</f>
        <v>106881279</v>
      </c>
    </row>
    <row r="13" spans="1:8" ht="75" x14ac:dyDescent="0.25">
      <c r="A13" s="39">
        <v>2107</v>
      </c>
      <c r="B13" s="39" t="s">
        <v>38</v>
      </c>
      <c r="C13" s="48">
        <f>Лист1!N130+Лист1!N65+Лист1!N53+Лист1!N11</f>
        <v>188758348.00999999</v>
      </c>
      <c r="D13" s="48">
        <f>Лист1!O130+Лист1!O65+Лист1!O53+Лист1!O11</f>
        <v>188125005.36999997</v>
      </c>
      <c r="E13" s="48">
        <f>Лист1!P130+Лист1!P65+Лист1!P53+Лист1!P11</f>
        <v>62316200.939999998</v>
      </c>
      <c r="F13" s="48">
        <f>Лист1!Q130+Лист1!Q65+Лист1!Q53+Лист1!Q11</f>
        <v>8845317.620000001</v>
      </c>
      <c r="G13" s="48">
        <f>Лист1!R130+Лист1!R65+Лист1!R53+Лист1!R11</f>
        <v>6221371.8100000005</v>
      </c>
      <c r="H13" s="48">
        <f>Лист1!S130+Лист1!S65+Лист1!S53+Лист1!S11</f>
        <v>6692958</v>
      </c>
    </row>
    <row r="14" spans="1:8" ht="30" x14ac:dyDescent="0.25">
      <c r="A14" s="39">
        <v>2108</v>
      </c>
      <c r="B14" s="39" t="s">
        <v>232</v>
      </c>
      <c r="C14" s="48">
        <f>Лист1!N132</f>
        <v>58314020</v>
      </c>
      <c r="D14" s="48">
        <f>Лист1!O132</f>
        <v>57672209.310000002</v>
      </c>
      <c r="E14" s="48">
        <f>Лист1!P132</f>
        <v>62921020</v>
      </c>
      <c r="F14" s="48">
        <f>Лист1!Q132</f>
        <v>41408157</v>
      </c>
      <c r="G14" s="48">
        <f>Лист1!R132</f>
        <v>41408157</v>
      </c>
      <c r="H14" s="48">
        <f>Лист1!S132</f>
        <v>41408157</v>
      </c>
    </row>
    <row r="15" spans="1:8" ht="30" x14ac:dyDescent="0.25">
      <c r="A15" s="39">
        <v>2111</v>
      </c>
      <c r="B15" s="39" t="s">
        <v>140</v>
      </c>
      <c r="C15" s="48">
        <f>Лист1!N76</f>
        <v>36863788.560000002</v>
      </c>
      <c r="D15" s="48">
        <f>Лист1!O76</f>
        <v>36822477.980000004</v>
      </c>
      <c r="E15" s="48">
        <f>Лист1!P76</f>
        <v>42667854.25</v>
      </c>
      <c r="F15" s="48">
        <f>Лист1!Q76</f>
        <v>34440663</v>
      </c>
      <c r="G15" s="48">
        <f>Лист1!R76</f>
        <v>34211308</v>
      </c>
      <c r="H15" s="48">
        <f>Лист1!S76</f>
        <v>34211308</v>
      </c>
    </row>
    <row r="16" spans="1:8" x14ac:dyDescent="0.25">
      <c r="A16" s="39">
        <v>2115</v>
      </c>
      <c r="B16" s="39" t="s">
        <v>154</v>
      </c>
      <c r="C16" s="48">
        <f>Лист1!N80</f>
        <v>337969.44</v>
      </c>
      <c r="D16" s="48">
        <f>Лист1!O80</f>
        <v>337969.44</v>
      </c>
      <c r="E16" s="48">
        <f>Лист1!P80</f>
        <v>728804.75</v>
      </c>
      <c r="F16" s="48">
        <f>Лист1!Q80</f>
        <v>630000</v>
      </c>
      <c r="G16" s="48">
        <f>Лист1!R80</f>
        <v>630000</v>
      </c>
      <c r="H16" s="48">
        <f>Лист1!S80</f>
        <v>630000</v>
      </c>
    </row>
    <row r="17" spans="1:8" ht="165" x14ac:dyDescent="0.25">
      <c r="A17" s="39">
        <v>2117</v>
      </c>
      <c r="B17" s="39" t="s">
        <v>161</v>
      </c>
      <c r="C17" s="48">
        <f>Лист1!N85+Лист1!N187</f>
        <v>564029255.10000002</v>
      </c>
      <c r="D17" s="48">
        <f>Лист1!O85+Лист1!O187</f>
        <v>561231994.54999995</v>
      </c>
      <c r="E17" s="48">
        <f>Лист1!P85+Лист1!P187</f>
        <v>618665821.14999998</v>
      </c>
      <c r="F17" s="48">
        <f>Лист1!Q85+Лист1!Q187</f>
        <v>539513165</v>
      </c>
      <c r="G17" s="48">
        <f>Лист1!R85+Лист1!R187</f>
        <v>574182445.67000008</v>
      </c>
      <c r="H17" s="48">
        <f>Лист1!S85+Лист1!S187</f>
        <v>476571979</v>
      </c>
    </row>
    <row r="18" spans="1:8" ht="30" x14ac:dyDescent="0.25">
      <c r="A18" s="39">
        <v>2119</v>
      </c>
      <c r="B18" s="39" t="s">
        <v>242</v>
      </c>
      <c r="C18" s="48">
        <f>Лист1!N134</f>
        <v>8237000</v>
      </c>
      <c r="D18" s="48">
        <f>Лист1!O134</f>
        <v>8237000</v>
      </c>
      <c r="E18" s="48">
        <f>Лист1!P134</f>
        <v>8902000</v>
      </c>
      <c r="F18" s="48">
        <f>Лист1!Q134</f>
        <v>8902000</v>
      </c>
      <c r="G18" s="48">
        <f>Лист1!R134</f>
        <v>8902000</v>
      </c>
      <c r="H18" s="48">
        <f>Лист1!S134</f>
        <v>8902000</v>
      </c>
    </row>
    <row r="19" spans="1:8" ht="30" x14ac:dyDescent="0.25">
      <c r="A19" s="39">
        <v>2120</v>
      </c>
      <c r="B19" s="39" t="s">
        <v>307</v>
      </c>
      <c r="C19" s="48">
        <f>Лист1!N191</f>
        <v>51511213.299999997</v>
      </c>
      <c r="D19" s="48">
        <f>Лист1!O191</f>
        <v>51511213.299999997</v>
      </c>
      <c r="E19" s="48">
        <f>Лист1!P191</f>
        <v>61274761.840000004</v>
      </c>
      <c r="F19" s="48">
        <f>Лист1!Q191</f>
        <v>38600332</v>
      </c>
      <c r="G19" s="48">
        <f>Лист1!R191</f>
        <v>37960332</v>
      </c>
      <c r="H19" s="48">
        <f>Лист1!S191</f>
        <v>37811132</v>
      </c>
    </row>
    <row r="20" spans="1:8" ht="30" x14ac:dyDescent="0.25">
      <c r="A20" s="39">
        <v>2121</v>
      </c>
      <c r="B20" s="39" t="s">
        <v>372</v>
      </c>
      <c r="C20" s="48">
        <f>Лист1!N198</f>
        <v>47588273.320000008</v>
      </c>
      <c r="D20" s="48">
        <f>Лист1!O198</f>
        <v>47588273.320000008</v>
      </c>
      <c r="E20" s="48">
        <f>Лист1!P198</f>
        <v>53763556.039999992</v>
      </c>
      <c r="F20" s="48">
        <f>Лист1!Q198</f>
        <v>43782223</v>
      </c>
      <c r="G20" s="48">
        <f>Лист1!R198</f>
        <v>43055376</v>
      </c>
      <c r="H20" s="48">
        <f>Лист1!S198</f>
        <v>43055376</v>
      </c>
    </row>
    <row r="21" spans="1:8" ht="45" x14ac:dyDescent="0.25">
      <c r="A21" s="39">
        <v>2124</v>
      </c>
      <c r="B21" s="39" t="s">
        <v>298</v>
      </c>
      <c r="C21" s="48" t="e">
        <f>Лист1!N165+Лист1!#REF!</f>
        <v>#REF!</v>
      </c>
      <c r="D21" s="48" t="e">
        <f>Лист1!O165+Лист1!#REF!</f>
        <v>#REF!</v>
      </c>
      <c r="E21" s="48" t="e">
        <f>Лист1!P165+Лист1!#REF!</f>
        <v>#REF!</v>
      </c>
      <c r="F21" s="48" t="e">
        <f>Лист1!Q165+Лист1!#REF!</f>
        <v>#REF!</v>
      </c>
      <c r="G21" s="48" t="e">
        <f>Лист1!R165+Лист1!#REF!</f>
        <v>#REF!</v>
      </c>
      <c r="H21" s="48" t="e">
        <f>Лист1!S165+Лист1!#REF!</f>
        <v>#REF!</v>
      </c>
    </row>
    <row r="22" spans="1:8" ht="30" x14ac:dyDescent="0.25">
      <c r="A22" s="39">
        <v>2125</v>
      </c>
      <c r="B22" s="39" t="s">
        <v>245</v>
      </c>
      <c r="C22" s="48">
        <f>Лист1!N137</f>
        <v>73837.16</v>
      </c>
      <c r="D22" s="48">
        <f>Лист1!O137</f>
        <v>73837.16</v>
      </c>
      <c r="E22" s="48">
        <f>Лист1!P137</f>
        <v>62931</v>
      </c>
      <c r="F22" s="48">
        <f>Лист1!Q137</f>
        <v>36000</v>
      </c>
      <c r="G22" s="48">
        <f>Лист1!R137</f>
        <v>36000</v>
      </c>
      <c r="H22" s="48">
        <f>Лист1!S137</f>
        <v>36000</v>
      </c>
    </row>
    <row r="23" spans="1:8" x14ac:dyDescent="0.25">
      <c r="A23" s="39">
        <v>2126</v>
      </c>
      <c r="B23" s="39" t="s">
        <v>41</v>
      </c>
      <c r="C23" s="48">
        <f>Лист1!N15</f>
        <v>3793527</v>
      </c>
      <c r="D23" s="48">
        <f>Лист1!O15</f>
        <v>3793527</v>
      </c>
      <c r="E23" s="48">
        <f>Лист1!P15</f>
        <v>4356845</v>
      </c>
      <c r="F23" s="48">
        <f>Лист1!Q15</f>
        <v>3871455</v>
      </c>
      <c r="G23" s="48">
        <f>Лист1!R15</f>
        <v>3871455</v>
      </c>
      <c r="H23" s="48">
        <f>Лист1!S15</f>
        <v>3871455</v>
      </c>
    </row>
    <row r="24" spans="1:8" x14ac:dyDescent="0.25">
      <c r="A24" s="39">
        <v>2127</v>
      </c>
      <c r="B24" s="39" t="s">
        <v>373</v>
      </c>
      <c r="C24" s="48">
        <f>Лист1!N140</f>
        <v>1520629.24</v>
      </c>
      <c r="D24" s="48">
        <f>Лист1!O140</f>
        <v>1519508.51</v>
      </c>
      <c r="E24" s="48">
        <f>Лист1!P140</f>
        <v>3137306.33</v>
      </c>
      <c r="F24" s="48">
        <f>Лист1!Q140</f>
        <v>2348440</v>
      </c>
      <c r="G24" s="48">
        <f>Лист1!R140</f>
        <v>1835330</v>
      </c>
      <c r="H24" s="48">
        <f>Лист1!S140</f>
        <v>700000</v>
      </c>
    </row>
    <row r="25" spans="1:8" x14ac:dyDescent="0.25">
      <c r="A25" s="39">
        <v>2128</v>
      </c>
      <c r="B25" s="39" t="s">
        <v>374</v>
      </c>
      <c r="C25" s="48">
        <f>Лист1!N143</f>
        <v>7931560</v>
      </c>
      <c r="D25" s="48">
        <f>Лист1!O143</f>
        <v>5512434.2000000002</v>
      </c>
      <c r="E25" s="48">
        <f>Лист1!P143</f>
        <v>4800000</v>
      </c>
      <c r="F25" s="48">
        <f>Лист1!Q143</f>
        <v>0</v>
      </c>
      <c r="G25" s="48">
        <f>Лист1!R143</f>
        <v>0</v>
      </c>
      <c r="H25" s="48">
        <f>Лист1!S143</f>
        <v>0</v>
      </c>
    </row>
    <row r="26" spans="1:8" ht="165" x14ac:dyDescent="0.25">
      <c r="A26" s="39">
        <v>2129</v>
      </c>
      <c r="B26" s="39" t="s">
        <v>276</v>
      </c>
      <c r="C26" s="48">
        <f>Лист1!N146</f>
        <v>322078245.31</v>
      </c>
      <c r="D26" s="48">
        <f>Лист1!O146</f>
        <v>305547879.01999998</v>
      </c>
      <c r="E26" s="48">
        <f>Лист1!P146</f>
        <v>218451496.99000001</v>
      </c>
      <c r="F26" s="48">
        <f>Лист1!Q146</f>
        <v>87148934.989999995</v>
      </c>
      <c r="G26" s="48">
        <f>Лист1!R146</f>
        <v>90031736.189999998</v>
      </c>
      <c r="H26" s="48">
        <f>Лист1!S146</f>
        <v>52193062</v>
      </c>
    </row>
    <row r="27" spans="1:8" ht="180" x14ac:dyDescent="0.25">
      <c r="A27" s="39">
        <v>2130</v>
      </c>
      <c r="B27" s="39" t="s">
        <v>115</v>
      </c>
      <c r="C27" s="48">
        <f>Лист1!N54+Лист1!N212</f>
        <v>4349673.41</v>
      </c>
      <c r="D27" s="48">
        <f>Лист1!O54+Лист1!O212</f>
        <v>4349573.41</v>
      </c>
      <c r="E27" s="48">
        <f>Лист1!P54+Лист1!P212</f>
        <v>4106300</v>
      </c>
      <c r="F27" s="48">
        <f>Лист1!Q54+Лист1!Q212</f>
        <v>1300000</v>
      </c>
      <c r="G27" s="48">
        <f>Лист1!R54+Лист1!R212</f>
        <v>1300000</v>
      </c>
      <c r="H27" s="48">
        <f>Лист1!S54+Лист1!S212</f>
        <v>1300000</v>
      </c>
    </row>
    <row r="28" spans="1:8" ht="30" x14ac:dyDescent="0.25">
      <c r="A28" s="39">
        <v>2131</v>
      </c>
      <c r="B28" s="39" t="s">
        <v>375</v>
      </c>
      <c r="C28" s="48">
        <f>Лист1!N214</f>
        <v>329800</v>
      </c>
      <c r="D28" s="48">
        <f>Лист1!O214</f>
        <v>329777</v>
      </c>
      <c r="E28" s="48">
        <f>Лист1!P214</f>
        <v>400000</v>
      </c>
      <c r="F28" s="48">
        <f>Лист1!Q214</f>
        <v>400000</v>
      </c>
      <c r="G28" s="48">
        <f>Лист1!R214</f>
        <v>400000</v>
      </c>
      <c r="H28" s="48">
        <f>Лист1!S214</f>
        <v>400000</v>
      </c>
    </row>
    <row r="29" spans="1:8" ht="61.5" customHeight="1" x14ac:dyDescent="0.25">
      <c r="A29" s="39">
        <v>2138</v>
      </c>
      <c r="B29" s="39" t="s">
        <v>376</v>
      </c>
      <c r="C29" s="48" t="e">
        <f>Лист1!#REF!+Лист1!N19</f>
        <v>#REF!</v>
      </c>
      <c r="D29" s="48" t="e">
        <f>Лист1!#REF!+Лист1!O19</f>
        <v>#REF!</v>
      </c>
      <c r="E29" s="48" t="e">
        <f>Лист1!#REF!+Лист1!P19</f>
        <v>#REF!</v>
      </c>
      <c r="F29" s="48" t="e">
        <f>Лист1!#REF!+Лист1!Q19</f>
        <v>#REF!</v>
      </c>
      <c r="G29" s="48" t="e">
        <f>Лист1!#REF!+Лист1!R19</f>
        <v>#REF!</v>
      </c>
      <c r="H29" s="48" t="e">
        <f>Лист1!#REF!+Лист1!S19</f>
        <v>#REF!</v>
      </c>
    </row>
    <row r="30" spans="1:8" ht="30" x14ac:dyDescent="0.25">
      <c r="A30" s="39">
        <v>2139</v>
      </c>
      <c r="B30" s="39" t="s">
        <v>290</v>
      </c>
      <c r="C30" s="48">
        <f>Лист1!N175</f>
        <v>24868107.800000001</v>
      </c>
      <c r="D30" s="48">
        <f>Лист1!O175</f>
        <v>24840529.23</v>
      </c>
      <c r="E30" s="48">
        <f>Лист1!P175</f>
        <v>69435976</v>
      </c>
      <c r="F30" s="48">
        <f>Лист1!Q175</f>
        <v>19136976</v>
      </c>
      <c r="G30" s="48">
        <f>Лист1!R175</f>
        <v>18936976</v>
      </c>
      <c r="H30" s="48">
        <f>Лист1!S175</f>
        <v>18936976</v>
      </c>
    </row>
    <row r="31" spans="1:8" ht="30" x14ac:dyDescent="0.25">
      <c r="A31" s="64">
        <v>2141</v>
      </c>
      <c r="B31" s="64" t="str">
        <f>Лист1!B31</f>
        <v>поддержка деятельности некоммерческих организаций, за исключением социально ориентированных организаци</v>
      </c>
      <c r="C31" s="48">
        <f>Лист1!N31</f>
        <v>433321.05</v>
      </c>
      <c r="D31" s="48">
        <f>Лист1!O31</f>
        <v>433321.05</v>
      </c>
      <c r="E31" s="48">
        <f>Лист1!P31</f>
        <v>499168.8</v>
      </c>
      <c r="F31" s="48">
        <f>Лист1!Q31</f>
        <v>409127</v>
      </c>
      <c r="G31" s="48">
        <f>Лист1!R31</f>
        <v>409127</v>
      </c>
      <c r="H31" s="48">
        <f>Лист1!S31</f>
        <v>409127</v>
      </c>
    </row>
    <row r="32" spans="1:8" ht="24" customHeight="1" x14ac:dyDescent="0.25">
      <c r="A32" s="39">
        <v>2201</v>
      </c>
      <c r="B32" s="39" t="str">
        <f>Лист1!B27</f>
        <v xml:space="preserve">материально-техническое и финансовое обеспечение деятельности органов местного самоуправления </v>
      </c>
      <c r="C32" s="48" t="e">
        <f>Лист1!N27+Лист1!N102+Лист1!#REF!+Лист1!N152+Лист1!N181+Лист1!N204+Лист1!N217+Лист1!N222</f>
        <v>#REF!</v>
      </c>
      <c r="D32" s="48" t="e">
        <f>Лист1!O27+Лист1!O102+Лист1!#REF!+Лист1!O152+Лист1!O181+Лист1!O204+Лист1!O217+Лист1!O222</f>
        <v>#REF!</v>
      </c>
      <c r="E32" s="48" t="e">
        <f>Лист1!P27+Лист1!P102+Лист1!#REF!+Лист1!P152+Лист1!P181+Лист1!P204+Лист1!P217+Лист1!P222</f>
        <v>#REF!</v>
      </c>
      <c r="F32" s="48" t="e">
        <f>Лист1!Q27+Лист1!Q102+Лист1!#REF!+Лист1!Q152+Лист1!Q181+Лист1!Q204+Лист1!Q217+Лист1!Q222</f>
        <v>#REF!</v>
      </c>
      <c r="G32" s="48" t="e">
        <f>Лист1!R27+Лист1!R102+Лист1!#REF!+Лист1!R152+Лист1!R181+Лист1!R204+Лист1!R217+Лист1!R222</f>
        <v>#REF!</v>
      </c>
      <c r="H32" s="48" t="e">
        <f>Лист1!S27+Лист1!S102+Лист1!#REF!+Лист1!S152+Лист1!S181+Лист1!S204+Лист1!S217+Лист1!S222</f>
        <v>#REF!</v>
      </c>
    </row>
    <row r="33" spans="1:8" x14ac:dyDescent="0.25">
      <c r="A33" s="39">
        <v>2202</v>
      </c>
      <c r="B33" s="39" t="s">
        <v>377</v>
      </c>
      <c r="C33" s="48">
        <f>Лист1!N70</f>
        <v>0</v>
      </c>
      <c r="D33" s="48">
        <f>Лист1!O70</f>
        <v>0</v>
      </c>
      <c r="E33" s="48">
        <f>Лист1!P70</f>
        <v>0</v>
      </c>
      <c r="F33" s="48">
        <f>Лист1!Q70</f>
        <v>11900</v>
      </c>
      <c r="G33" s="48">
        <f>Лист1!R70</f>
        <v>0</v>
      </c>
      <c r="H33" s="48">
        <f>Лист1!S70</f>
        <v>0</v>
      </c>
    </row>
    <row r="34" spans="1:8" ht="60" x14ac:dyDescent="0.25">
      <c r="A34" s="40">
        <v>2206</v>
      </c>
      <c r="B34" s="39" t="s">
        <v>364</v>
      </c>
      <c r="C34" s="48" t="e">
        <f>Лист1!N29+Лист1!#REF!+Лист1!N154+Лист1!N183</f>
        <v>#REF!</v>
      </c>
      <c r="D34" s="48" t="e">
        <f>Лист1!O29+Лист1!#REF!+Лист1!O154+Лист1!O183</f>
        <v>#REF!</v>
      </c>
      <c r="E34" s="48" t="e">
        <f>Лист1!P29+Лист1!#REF!+Лист1!P154+Лист1!P183</f>
        <v>#REF!</v>
      </c>
      <c r="F34" s="48" t="e">
        <f>Лист1!Q29+Лист1!#REF!+Лист1!Q154+Лист1!Q183</f>
        <v>#REF!</v>
      </c>
      <c r="G34" s="48" t="e">
        <f>Лист1!R29+Лист1!#REF!+Лист1!R154+Лист1!R183</f>
        <v>#REF!</v>
      </c>
      <c r="H34" s="48" t="e">
        <f>Лист1!S29+Лист1!#REF!+Лист1!S154+Лист1!S183</f>
        <v>#REF!</v>
      </c>
    </row>
    <row r="35" spans="1:8" ht="75" x14ac:dyDescent="0.25">
      <c r="A35" s="39">
        <v>2211</v>
      </c>
      <c r="B35" s="64" t="s">
        <v>379</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345</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366</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365</v>
      </c>
      <c r="C39" s="48">
        <f>Лист1!N37</f>
        <v>286500</v>
      </c>
      <c r="D39" s="48">
        <f>Лист1!O37</f>
        <v>286500</v>
      </c>
      <c r="E39" s="48">
        <f>Лист1!P37</f>
        <v>327190</v>
      </c>
      <c r="F39" s="48">
        <f>Лист1!Q37</f>
        <v>292200</v>
      </c>
      <c r="G39" s="48">
        <f>Лист1!R37</f>
        <v>292200</v>
      </c>
      <c r="H39" s="48">
        <f>Лист1!S37</f>
        <v>292200</v>
      </c>
    </row>
    <row r="40" spans="1:8" ht="135" x14ac:dyDescent="0.25">
      <c r="A40" s="9">
        <v>2622</v>
      </c>
      <c r="B40" s="9" t="s">
        <v>380</v>
      </c>
      <c r="C40" s="48" t="e">
        <f>Лист1!#REF!+Лист1!N106+Лист1!N111+Лист1!#REF!</f>
        <v>#REF!</v>
      </c>
      <c r="D40" s="48" t="e">
        <f>Лист1!#REF!+Лист1!O106+Лист1!O111+Лист1!#REF!</f>
        <v>#REF!</v>
      </c>
      <c r="E40" s="48" t="e">
        <f>Лист1!#REF!+Лист1!P106+Лист1!P111+Лист1!#REF!</f>
        <v>#REF!</v>
      </c>
      <c r="F40" s="48" t="e">
        <f>Лист1!#REF!+Лист1!Q106+Лист1!Q111+Лист1!#REF!</f>
        <v>#REF!</v>
      </c>
      <c r="G40" s="48" t="e">
        <f>Лист1!#REF!+Лист1!R106+Лист1!R111+Лист1!#REF!</f>
        <v>#REF!</v>
      </c>
      <c r="H40" s="48" t="e">
        <f>Лист1!#REF!+Лист1!S106+Лист1!S111+Лист1!#REF!</f>
        <v>#REF!</v>
      </c>
    </row>
    <row r="41" spans="1:8" ht="30" x14ac:dyDescent="0.25">
      <c r="A41" s="39">
        <v>2628</v>
      </c>
      <c r="B41" s="39" t="s">
        <v>367</v>
      </c>
      <c r="C41" s="48">
        <f>Лист1!N61</f>
        <v>37691263.039999999</v>
      </c>
      <c r="D41" s="48">
        <f>Лист1!O61</f>
        <v>25943400</v>
      </c>
      <c r="E41" s="48">
        <f>Лист1!P61</f>
        <v>45790721.369999997</v>
      </c>
      <c r="F41" s="48">
        <f>Лист1!Q61</f>
        <v>118306500</v>
      </c>
      <c r="G41" s="48">
        <f>Лист1!R61</f>
        <v>55867000</v>
      </c>
      <c r="H41" s="48">
        <f>Лист1!S61</f>
        <v>34506100</v>
      </c>
    </row>
    <row r="42" spans="1:8" ht="180" x14ac:dyDescent="0.25">
      <c r="A42" s="9">
        <v>2640</v>
      </c>
      <c r="B42" s="9" t="s">
        <v>381</v>
      </c>
      <c r="C42" s="48" t="e">
        <f>Лист1!N110+Лист1!#REF!+Лист1!#REF!+Лист1!#REF!</f>
        <v>#REF!</v>
      </c>
      <c r="D42" s="48" t="e">
        <f>Лист1!O110+Лист1!#REF!+Лист1!#REF!+Лист1!#REF!</f>
        <v>#REF!</v>
      </c>
      <c r="E42" s="48" t="e">
        <f>Лист1!P110+Лист1!#REF!+Лист1!#REF!+Лист1!#REF!</f>
        <v>#REF!</v>
      </c>
      <c r="F42" s="48" t="e">
        <f>Лист1!Q110+Лист1!#REF!+Лист1!#REF!+Лист1!#REF!</f>
        <v>#REF!</v>
      </c>
      <c r="G42" s="48" t="e">
        <f>Лист1!R110+Лист1!#REF!+Лист1!#REF!+Лист1!#REF!</f>
        <v>#REF!</v>
      </c>
      <c r="H42" s="48" t="e">
        <f>Лист1!S110+Лист1!#REF!+Лист1!#REF!+Лист1!#REF!</f>
        <v>#REF!</v>
      </c>
    </row>
    <row r="43" spans="1:8" ht="75" x14ac:dyDescent="0.25">
      <c r="A43" s="39">
        <v>2641</v>
      </c>
      <c r="B43" s="39" t="s">
        <v>382</v>
      </c>
      <c r="C43" s="48">
        <f>Лист1!N38+Лист1!N40+Лист1!N42</f>
        <v>3624700</v>
      </c>
      <c r="D43" s="48">
        <f>Лист1!O38+Лист1!O40+Лист1!O42</f>
        <v>3624700</v>
      </c>
      <c r="E43" s="48">
        <f>Лист1!P38+Лист1!P40+Лист1!P42</f>
        <v>4107800</v>
      </c>
      <c r="F43" s="48">
        <f>Лист1!Q38+Лист1!Q40+Лист1!Q42</f>
        <v>3607100</v>
      </c>
      <c r="G43" s="48">
        <f>Лист1!R38+Лист1!R40+Лист1!R42</f>
        <v>3607100</v>
      </c>
      <c r="H43" s="48">
        <f>Лист1!S38+Лист1!S40+Лист1!S42</f>
        <v>3607100</v>
      </c>
    </row>
    <row r="44" spans="1:8" x14ac:dyDescent="0.25">
      <c r="A44" s="39">
        <v>2642</v>
      </c>
      <c r="B44" s="9" t="s">
        <v>368</v>
      </c>
      <c r="C44" s="48">
        <f>Лист1!N113</f>
        <v>9309100</v>
      </c>
      <c r="D44" s="48">
        <f>Лист1!O113</f>
        <v>9128814.0199999996</v>
      </c>
      <c r="E44" s="48">
        <f>Лист1!P113</f>
        <v>10611640</v>
      </c>
      <c r="F44" s="48">
        <f>Лист1!Q113</f>
        <v>9333800</v>
      </c>
      <c r="G44" s="48">
        <f>Лист1!R113</f>
        <v>9333800</v>
      </c>
      <c r="H44" s="48">
        <f>Лист1!S113</f>
        <v>9333800</v>
      </c>
    </row>
    <row r="45" spans="1:8" ht="105" x14ac:dyDescent="0.25">
      <c r="A45" s="72">
        <v>2643</v>
      </c>
      <c r="B45" s="73" t="s">
        <v>385</v>
      </c>
      <c r="C45" s="48">
        <f>Лист1!N112</f>
        <v>10436100</v>
      </c>
      <c r="D45" s="48">
        <f>Лист1!O112</f>
        <v>10436013.99</v>
      </c>
      <c r="E45" s="48">
        <f>Лист1!P112</f>
        <v>18626300</v>
      </c>
      <c r="F45" s="48">
        <f>Лист1!Q112</f>
        <v>15514000</v>
      </c>
      <c r="G45" s="48">
        <f>Лист1!R112</f>
        <v>15514000</v>
      </c>
      <c r="H45" s="48">
        <f>Лист1!S112</f>
        <v>15514000</v>
      </c>
    </row>
    <row r="46" spans="1:8" ht="60" x14ac:dyDescent="0.25">
      <c r="A46" s="9">
        <v>2660</v>
      </c>
      <c r="B46" s="9" t="s">
        <v>370</v>
      </c>
      <c r="C46" s="48">
        <f>Лист1!N161</f>
        <v>2157700</v>
      </c>
      <c r="D46" s="48">
        <f>Лист1!O161</f>
        <v>2157656</v>
      </c>
      <c r="E46" s="48">
        <f>Лист1!P161</f>
        <v>3276760</v>
      </c>
      <c r="F46" s="48">
        <f>Лист1!Q161</f>
        <v>2230100</v>
      </c>
      <c r="G46" s="48">
        <f>Лист1!R161</f>
        <v>2230100</v>
      </c>
      <c r="H46" s="48">
        <f>Лист1!S161</f>
        <v>2230100</v>
      </c>
    </row>
    <row r="47" spans="1:8" ht="45" x14ac:dyDescent="0.25">
      <c r="A47" s="39">
        <v>2670</v>
      </c>
      <c r="B47" s="39" t="s">
        <v>369</v>
      </c>
      <c r="C47" s="48">
        <f>Лист1!N159</f>
        <v>13055900</v>
      </c>
      <c r="D47" s="48">
        <f>Лист1!O159</f>
        <v>8837715.9800000004</v>
      </c>
      <c r="E47" s="48">
        <f>Лист1!P159</f>
        <v>18964300</v>
      </c>
      <c r="F47" s="48">
        <f>Лист1!Q159</f>
        <v>7095100</v>
      </c>
      <c r="G47" s="48">
        <f>Лист1!R159</f>
        <v>7095100</v>
      </c>
      <c r="H47" s="48">
        <f>Лист1!S159</f>
        <v>7095100</v>
      </c>
    </row>
    <row r="48" spans="1:8" x14ac:dyDescent="0.25">
      <c r="A48" s="19"/>
      <c r="B48" s="51" t="s">
        <v>363</v>
      </c>
      <c r="C48" s="49" t="e">
        <f>C8+C37</f>
        <v>#REF!</v>
      </c>
      <c r="D48" s="49" t="e">
        <f>D37+D8</f>
        <v>#REF!</v>
      </c>
      <c r="E48" s="49" t="e">
        <f>E37+E8</f>
        <v>#REF!</v>
      </c>
      <c r="F48" s="49" t="e">
        <f>F37+F8</f>
        <v>#REF!</v>
      </c>
      <c r="G48" s="49" t="e">
        <f>G37+G8</f>
        <v>#REF!</v>
      </c>
      <c r="H48" s="49" t="e">
        <f>H37+H8</f>
        <v>#REF!</v>
      </c>
    </row>
    <row r="49" spans="2:8" x14ac:dyDescent="0.25">
      <c r="B49" s="35" t="s">
        <v>383</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37"/>
  <sheetViews>
    <sheetView workbookViewId="0">
      <selection activeCell="J37" sqref="J37:K37"/>
    </sheetView>
  </sheetViews>
  <sheetFormatPr defaultRowHeight="15" x14ac:dyDescent="0.25"/>
  <cols>
    <col min="3" max="3" width="16.42578125" customWidth="1"/>
    <col min="4" max="4" width="14.5703125" customWidth="1"/>
    <col min="5" max="5" width="17.42578125" customWidth="1"/>
    <col min="9" max="9" width="16.5703125" customWidth="1"/>
    <col min="10" max="10" width="16.28515625" customWidth="1"/>
    <col min="11" max="11" width="19.42578125" customWidth="1"/>
  </cols>
  <sheetData>
    <row r="4" spans="3:11" x14ac:dyDescent="0.25">
      <c r="C4" s="50">
        <v>1601753212</v>
      </c>
      <c r="D4" s="50">
        <v>1591713118</v>
      </c>
      <c r="E4" s="50">
        <v>1540370806</v>
      </c>
    </row>
    <row r="5" spans="3:11" x14ac:dyDescent="0.25">
      <c r="C5" s="50">
        <v>135713200</v>
      </c>
      <c r="D5" s="50">
        <v>135713200</v>
      </c>
      <c r="E5" s="50">
        <v>135713200</v>
      </c>
      <c r="I5" s="198">
        <v>1689681472</v>
      </c>
      <c r="J5" s="198">
        <v>1646080718</v>
      </c>
      <c r="K5" s="198">
        <v>1625995272.6700001</v>
      </c>
    </row>
    <row r="6" spans="3:11" x14ac:dyDescent="0.25">
      <c r="C6" s="50">
        <v>3177600</v>
      </c>
      <c r="D6" s="50">
        <v>3177600</v>
      </c>
      <c r="E6" s="50">
        <v>3177600</v>
      </c>
      <c r="I6" s="198">
        <v>135713200</v>
      </c>
      <c r="J6" s="198">
        <v>135713200</v>
      </c>
      <c r="K6" s="198">
        <v>135713200</v>
      </c>
    </row>
    <row r="7" spans="3:11" x14ac:dyDescent="0.25">
      <c r="C7" s="50">
        <v>316554400</v>
      </c>
      <c r="D7" s="50">
        <v>316554400</v>
      </c>
      <c r="E7" s="50">
        <v>316554400</v>
      </c>
      <c r="I7" s="198">
        <v>3177600</v>
      </c>
      <c r="J7" s="198">
        <v>3177600</v>
      </c>
      <c r="K7" s="198">
        <v>3177600</v>
      </c>
    </row>
    <row r="8" spans="3:11" x14ac:dyDescent="0.25">
      <c r="C8" s="50">
        <v>68988500</v>
      </c>
      <c r="D8" s="50">
        <v>68988500</v>
      </c>
      <c r="E8" s="50">
        <v>68988500</v>
      </c>
      <c r="I8" s="198">
        <v>316554400</v>
      </c>
      <c r="J8" s="198">
        <v>316554400</v>
      </c>
      <c r="K8" s="198">
        <v>316554400</v>
      </c>
    </row>
    <row r="9" spans="3:11" x14ac:dyDescent="0.25">
      <c r="C9" s="50">
        <v>409440958</v>
      </c>
      <c r="D9" s="50">
        <v>409440958</v>
      </c>
      <c r="E9" s="50">
        <v>409440958</v>
      </c>
      <c r="I9" s="198">
        <v>73326300</v>
      </c>
      <c r="J9" s="198">
        <v>68988500</v>
      </c>
      <c r="K9" s="198">
        <v>68988500</v>
      </c>
    </row>
    <row r="10" spans="3:11" x14ac:dyDescent="0.25">
      <c r="C10" s="50">
        <v>38343600</v>
      </c>
      <c r="D10" s="50">
        <v>38343600</v>
      </c>
      <c r="E10" s="50">
        <v>38343600</v>
      </c>
      <c r="I10" s="198">
        <v>409441000</v>
      </c>
      <c r="J10" s="198">
        <v>409441000</v>
      </c>
      <c r="K10" s="198">
        <v>409441000</v>
      </c>
    </row>
    <row r="11" spans="3:11" x14ac:dyDescent="0.25">
      <c r="C11" s="50">
        <v>22925442</v>
      </c>
      <c r="D11" s="50">
        <v>22925442</v>
      </c>
      <c r="E11" s="50">
        <v>22925442</v>
      </c>
      <c r="I11" s="198">
        <v>38343600</v>
      </c>
      <c r="J11" s="198">
        <v>38343600</v>
      </c>
      <c r="K11" s="198">
        <v>38343600</v>
      </c>
    </row>
    <row r="12" spans="3:11" x14ac:dyDescent="0.25">
      <c r="C12" s="50">
        <v>15514000</v>
      </c>
      <c r="D12" s="50">
        <v>15514000</v>
      </c>
      <c r="E12" s="50">
        <v>15514000</v>
      </c>
      <c r="I12" s="198">
        <v>62286700</v>
      </c>
      <c r="J12" s="198">
        <v>60198800</v>
      </c>
      <c r="K12" s="198">
        <v>61242800</v>
      </c>
    </row>
    <row r="13" spans="3:11" x14ac:dyDescent="0.25">
      <c r="C13" s="50">
        <v>9333800</v>
      </c>
      <c r="D13" s="50">
        <v>9333800</v>
      </c>
      <c r="E13" s="50">
        <v>9333800</v>
      </c>
      <c r="I13" s="198">
        <v>26689300</v>
      </c>
      <c r="J13" s="198">
        <v>22925400</v>
      </c>
      <c r="K13" s="198">
        <v>22925400</v>
      </c>
    </row>
    <row r="14" spans="3:11" x14ac:dyDescent="0.25">
      <c r="C14" s="50">
        <v>12278400</v>
      </c>
      <c r="D14" s="50">
        <v>12278400</v>
      </c>
      <c r="E14" s="50">
        <v>12278400</v>
      </c>
      <c r="I14" s="198">
        <v>15514000</v>
      </c>
      <c r="J14" s="198">
        <v>15514000</v>
      </c>
      <c r="K14" s="198">
        <v>15514000</v>
      </c>
    </row>
    <row r="15" spans="3:11" x14ac:dyDescent="0.25">
      <c r="C15" s="50">
        <f>SUM(C5:C14)</f>
        <v>1032269900</v>
      </c>
      <c r="D15" s="50">
        <f t="shared" ref="D15:E15" si="0">SUM(D5:D14)</f>
        <v>1032269900</v>
      </c>
      <c r="E15" s="50">
        <f t="shared" si="0"/>
        <v>1032269900</v>
      </c>
      <c r="I15" s="198">
        <v>9333800</v>
      </c>
      <c r="J15" s="198">
        <v>9333800</v>
      </c>
      <c r="K15" s="198">
        <v>9333800</v>
      </c>
    </row>
    <row r="16" spans="3:11" x14ac:dyDescent="0.25">
      <c r="C16" s="50">
        <v>8155733</v>
      </c>
      <c r="D16" s="50">
        <v>8155733</v>
      </c>
      <c r="E16" s="50">
        <v>8155733</v>
      </c>
      <c r="I16" s="198">
        <v>12278400</v>
      </c>
      <c r="J16" s="198">
        <v>12278400</v>
      </c>
      <c r="K16" s="198">
        <v>12278400</v>
      </c>
    </row>
    <row r="17" spans="3:11" x14ac:dyDescent="0.25">
      <c r="C17" s="50">
        <v>50298268</v>
      </c>
      <c r="D17" s="50">
        <v>50298268</v>
      </c>
      <c r="E17" s="50">
        <v>50298268</v>
      </c>
      <c r="I17" s="198">
        <v>8206235</v>
      </c>
      <c r="J17" s="198">
        <v>8155733</v>
      </c>
      <c r="K17" s="198">
        <v>8155733</v>
      </c>
    </row>
    <row r="18" spans="3:11" x14ac:dyDescent="0.25">
      <c r="C18" s="168">
        <f>C4-C15-C16-C17</f>
        <v>511029311</v>
      </c>
      <c r="D18" s="168">
        <f t="shared" ref="D18:E18" si="1">D4-D15-D16-D17</f>
        <v>500989217</v>
      </c>
      <c r="E18" s="168">
        <f t="shared" si="1"/>
        <v>449646905</v>
      </c>
      <c r="I18" s="198">
        <v>55101207</v>
      </c>
      <c r="J18" s="198">
        <v>50298268</v>
      </c>
      <c r="K18" s="198">
        <v>50298268</v>
      </c>
    </row>
    <row r="19" spans="3:11" x14ac:dyDescent="0.25">
      <c r="C19" s="50"/>
      <c r="D19" s="50"/>
      <c r="E19" s="50"/>
      <c r="I19" s="198">
        <f>I5-I6-I7-I8-I9-I10-I11-I12-I13-I14-I15-I16-I17-I18</f>
        <v>523715730</v>
      </c>
      <c r="J19" s="198">
        <f t="shared" ref="J19:K19" si="2">J5-J6-J7-J8-J9-J10-J11-J12-J13-J14-J15-J16-J17-J18</f>
        <v>495158017</v>
      </c>
      <c r="K19" s="198">
        <f t="shared" si="2"/>
        <v>474028571.67000008</v>
      </c>
    </row>
    <row r="20" spans="3:11" x14ac:dyDescent="0.25">
      <c r="C20" s="50"/>
      <c r="D20" s="50"/>
      <c r="E20" s="50"/>
    </row>
    <row r="21" spans="3:11" x14ac:dyDescent="0.25">
      <c r="C21" s="50">
        <v>1792550564.6400001</v>
      </c>
      <c r="D21" s="50">
        <v>1663255918</v>
      </c>
      <c r="E21" s="50">
        <v>1643170472.6700001</v>
      </c>
    </row>
    <row r="22" spans="3:11" x14ac:dyDescent="0.25">
      <c r="C22" s="50">
        <v>153074920</v>
      </c>
      <c r="D22" s="50">
        <v>135713200</v>
      </c>
      <c r="E22" s="50">
        <v>135713200</v>
      </c>
      <c r="I22" s="50">
        <v>1845273050.3499999</v>
      </c>
      <c r="J22" s="50">
        <v>1662670018</v>
      </c>
      <c r="K22">
        <v>1698948172.6700001</v>
      </c>
    </row>
    <row r="23" spans="3:11" x14ac:dyDescent="0.25">
      <c r="C23" s="50">
        <v>3177600</v>
      </c>
      <c r="D23" s="50">
        <v>3177600</v>
      </c>
      <c r="E23" s="50">
        <v>3177600</v>
      </c>
      <c r="I23" s="50">
        <v>156441020</v>
      </c>
      <c r="J23" s="50">
        <v>135713200</v>
      </c>
      <c r="K23">
        <v>135713200</v>
      </c>
    </row>
    <row r="24" spans="3:11" x14ac:dyDescent="0.25">
      <c r="C24" s="50">
        <v>315372300</v>
      </c>
      <c r="D24" s="50">
        <v>316554400</v>
      </c>
      <c r="E24" s="50">
        <v>316554400</v>
      </c>
      <c r="I24" s="50">
        <v>3177600</v>
      </c>
      <c r="J24" s="50">
        <v>3177600</v>
      </c>
      <c r="K24">
        <v>3177600</v>
      </c>
    </row>
    <row r="25" spans="3:11" x14ac:dyDescent="0.25">
      <c r="C25" s="50">
        <v>98961391</v>
      </c>
      <c r="D25" s="50">
        <v>68988500</v>
      </c>
      <c r="E25" s="50">
        <v>68988500</v>
      </c>
      <c r="I25" s="50">
        <v>326478600</v>
      </c>
      <c r="J25" s="50">
        <v>316554400</v>
      </c>
      <c r="K25">
        <v>316554400</v>
      </c>
    </row>
    <row r="26" spans="3:11" x14ac:dyDescent="0.25">
      <c r="C26" s="50">
        <v>428145989</v>
      </c>
      <c r="D26" s="50">
        <v>426616200</v>
      </c>
      <c r="E26" s="50">
        <v>426616200</v>
      </c>
      <c r="I26" s="50">
        <v>53434100</v>
      </c>
      <c r="J26" s="50">
        <v>53434100</v>
      </c>
      <c r="K26">
        <v>55777700</v>
      </c>
    </row>
    <row r="27" spans="3:11" x14ac:dyDescent="0.25">
      <c r="C27" s="50">
        <v>38343600</v>
      </c>
      <c r="D27" s="50">
        <v>38343600</v>
      </c>
      <c r="E27" s="50">
        <v>38343600</v>
      </c>
      <c r="I27" s="50">
        <v>103286791</v>
      </c>
      <c r="J27" s="50">
        <v>68988500</v>
      </c>
      <c r="K27">
        <v>68988500</v>
      </c>
    </row>
    <row r="28" spans="3:11" x14ac:dyDescent="0.25">
      <c r="C28" s="50">
        <v>62286700</v>
      </c>
      <c r="D28" s="50">
        <v>60198800</v>
      </c>
      <c r="E28" s="50">
        <v>61242800</v>
      </c>
      <c r="I28" s="50">
        <v>451446468.20999998</v>
      </c>
      <c r="J28" s="50">
        <v>426616200</v>
      </c>
      <c r="K28">
        <v>426616200</v>
      </c>
    </row>
    <row r="29" spans="3:11" x14ac:dyDescent="0.25">
      <c r="C29" s="50">
        <v>26263311</v>
      </c>
      <c r="D29" s="50">
        <v>22925400</v>
      </c>
      <c r="E29" s="50">
        <v>22925400</v>
      </c>
      <c r="I29" s="50">
        <v>38343600</v>
      </c>
      <c r="J29" s="50">
        <v>38343600</v>
      </c>
      <c r="K29">
        <v>38343600</v>
      </c>
    </row>
    <row r="30" spans="3:11" x14ac:dyDescent="0.25">
      <c r="C30" s="50">
        <v>18626300</v>
      </c>
      <c r="D30" s="50">
        <v>15514000</v>
      </c>
      <c r="E30" s="50">
        <v>15514000</v>
      </c>
      <c r="I30" s="50">
        <v>27496927.550000001</v>
      </c>
      <c r="J30" s="50">
        <v>22925400</v>
      </c>
      <c r="K30">
        <v>22925400</v>
      </c>
    </row>
    <row r="31" spans="3:11" x14ac:dyDescent="0.25">
      <c r="C31" s="50">
        <v>8430981</v>
      </c>
      <c r="D31" s="50">
        <v>8155733</v>
      </c>
      <c r="E31" s="50">
        <v>8155733</v>
      </c>
      <c r="I31" s="50">
        <v>18626300</v>
      </c>
      <c r="J31" s="50">
        <v>15514000</v>
      </c>
      <c r="K31">
        <v>15514000</v>
      </c>
    </row>
    <row r="32" spans="3:11" x14ac:dyDescent="0.25">
      <c r="C32" s="50">
        <v>57836068</v>
      </c>
      <c r="D32" s="50">
        <v>50298268</v>
      </c>
      <c r="E32" s="50">
        <v>50298268</v>
      </c>
      <c r="I32" s="50">
        <v>10611640</v>
      </c>
      <c r="J32" s="50">
        <v>9333800</v>
      </c>
      <c r="K32">
        <v>9333800</v>
      </c>
    </row>
    <row r="33" spans="3:11" x14ac:dyDescent="0.25">
      <c r="C33" s="50">
        <v>10611640</v>
      </c>
      <c r="D33" s="50">
        <v>9333800</v>
      </c>
      <c r="E33" s="50">
        <v>9333800</v>
      </c>
      <c r="I33" s="50">
        <v>20832</v>
      </c>
      <c r="J33" s="50">
        <v>0</v>
      </c>
    </row>
    <row r="34" spans="3:11" x14ac:dyDescent="0.25">
      <c r="C34" s="50">
        <v>12278400</v>
      </c>
      <c r="D34" s="50">
        <v>12278400</v>
      </c>
      <c r="E34" s="50">
        <v>12278400</v>
      </c>
      <c r="I34" s="50">
        <v>6000000</v>
      </c>
      <c r="J34" s="50">
        <v>12278400</v>
      </c>
      <c r="K34">
        <v>12278400</v>
      </c>
    </row>
    <row r="35" spans="3:11" x14ac:dyDescent="0.25">
      <c r="C35" s="50">
        <f>SUM(C22:C34)</f>
        <v>1233409200</v>
      </c>
      <c r="D35" s="50">
        <f t="shared" ref="D35:E35" si="3">SUM(D22:D34)</f>
        <v>1168097901</v>
      </c>
      <c r="E35" s="50">
        <f t="shared" si="3"/>
        <v>1169141901</v>
      </c>
      <c r="I35" s="50">
        <v>8479954.5600000005</v>
      </c>
      <c r="J35" s="50">
        <v>8155733</v>
      </c>
      <c r="K35">
        <v>8155733</v>
      </c>
    </row>
    <row r="36" spans="3:11" x14ac:dyDescent="0.25">
      <c r="C36" s="50">
        <f>C21-C35</f>
        <v>559141364.6400001</v>
      </c>
      <c r="D36" s="50">
        <f t="shared" ref="D36:E36" si="4">D21-D35</f>
        <v>495158017</v>
      </c>
      <c r="E36" s="50">
        <f t="shared" si="4"/>
        <v>474028571.67000008</v>
      </c>
      <c r="I36" s="50">
        <v>57903350</v>
      </c>
      <c r="J36" s="50">
        <v>50298268</v>
      </c>
      <c r="K36">
        <v>50298268</v>
      </c>
    </row>
    <row r="37" spans="3:11" x14ac:dyDescent="0.25">
      <c r="I37" s="50">
        <f>I22-I23-I24-I25-I26-I27-I28-I29-I30-I31-I32-I33-I34-I35-I36</f>
        <v>583525867.02999997</v>
      </c>
      <c r="J37" s="50">
        <f t="shared" ref="J37:K37" si="5">J22-J23-J24-J25-J26-J27-J28-J29-J30-J31-J32-J33-J34-J35-J36</f>
        <v>501336817</v>
      </c>
      <c r="K37" s="50">
        <f t="shared" si="5"/>
        <v>535271371.67000008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2022-11-29T01:50:14Z</dcterms:modified>
</cp:coreProperties>
</file>